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20" yWindow="-120" windowWidth="21840" windowHeight="13740" tabRatio="956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2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_Hlk947128" localSheetId="1">'I. Фін результат'!$I$18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коштів'!$5:$7</definedName>
    <definedName name="_xlnm.Print_Titles" localSheetId="0">'Осн. фін. пок.'!$30:$32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Коефіцієнти'!$A$1:$H$27</definedName>
    <definedName name="_xlnm.Print_Area" localSheetId="6">'6.1. Інша інфо_1'!$A$1:$O$75</definedName>
    <definedName name="_xlnm.Print_Area" localSheetId="7">'6.2. Інша інфо_2'!$A$1:$AF$105</definedName>
    <definedName name="_xlnm.Print_Area" localSheetId="1">'I. Фін результат'!$A$1:$I$155</definedName>
    <definedName name="_xlnm.Print_Area" localSheetId="4">'IV. Кап. інвестиції'!$A$1:$H$17</definedName>
    <definedName name="_xlnm.Print_Area" localSheetId="2">'ІІ. Розр. з бюджетом'!$A$1:$H$54</definedName>
    <definedName name="_xlnm.Print_Area" localSheetId="3">'ІІІ. Рух грош. коштів'!$A$1:$H$154</definedName>
    <definedName name="_xlnm.Print_Area" localSheetId="0">'Осн. фін. пок.'!$A$1:$H$174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D63" i="18" l="1"/>
  <c r="F67" i="18"/>
  <c r="F164" i="14" l="1"/>
  <c r="E164" i="14"/>
  <c r="E137" i="14"/>
  <c r="E141" i="14"/>
  <c r="E142" i="14"/>
  <c r="E145" i="14"/>
  <c r="E130" i="14"/>
  <c r="E134" i="14"/>
  <c r="C25" i="10"/>
  <c r="F25" i="10"/>
  <c r="I25" i="10"/>
  <c r="C26" i="10"/>
  <c r="F26" i="10"/>
  <c r="I26" i="10"/>
  <c r="F24" i="10"/>
  <c r="I24" i="10"/>
  <c r="C24" i="10"/>
  <c r="F23" i="10"/>
  <c r="I23" i="10"/>
  <c r="C23" i="10"/>
  <c r="E148" i="14" l="1"/>
  <c r="E132" i="14" s="1"/>
  <c r="E131" i="14"/>
  <c r="E133" i="14"/>
  <c r="D13" i="18" l="1"/>
  <c r="D25" i="18"/>
  <c r="D10" i="19" l="1"/>
  <c r="D11" i="19"/>
  <c r="D12" i="19"/>
  <c r="D13" i="19"/>
  <c r="D14" i="19"/>
  <c r="D15" i="19"/>
  <c r="D16" i="19"/>
  <c r="D17" i="19"/>
  <c r="D18" i="19"/>
  <c r="D20" i="19"/>
  <c r="D21" i="19"/>
  <c r="D7" i="19"/>
  <c r="E84" i="2"/>
  <c r="F84" i="2"/>
  <c r="T87" i="20" l="1"/>
  <c r="G46" i="10"/>
  <c r="G48" i="10"/>
  <c r="H47" i="10"/>
  <c r="G47" i="10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F16" i="11" l="1"/>
  <c r="D125" i="18"/>
  <c r="D124" i="18"/>
  <c r="D123" i="18"/>
  <c r="D122" i="18"/>
  <c r="D121" i="18"/>
  <c r="D120" i="18"/>
  <c r="D119" i="18"/>
  <c r="D118" i="18"/>
  <c r="D117" i="18"/>
  <c r="D115" i="18"/>
  <c r="D114" i="18"/>
  <c r="D113" i="18"/>
  <c r="D112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0" i="18"/>
  <c r="D59" i="18"/>
  <c r="D58" i="18"/>
  <c r="D57" i="18"/>
  <c r="D56" i="18"/>
  <c r="D33" i="18"/>
  <c r="D32" i="18"/>
  <c r="D31" i="18"/>
  <c r="D30" i="18"/>
  <c r="D29" i="18"/>
  <c r="D28" i="18"/>
  <c r="D24" i="18"/>
  <c r="D23" i="18"/>
  <c r="D22" i="18"/>
  <c r="D20" i="18"/>
  <c r="D18" i="18"/>
  <c r="D17" i="18"/>
  <c r="D16" i="18"/>
  <c r="D15" i="18"/>
  <c r="D14" i="18"/>
  <c r="D12" i="18"/>
  <c r="D11" i="18"/>
  <c r="D10" i="18"/>
  <c r="G112" i="2"/>
  <c r="H112" i="2"/>
  <c r="G113" i="2"/>
  <c r="H113" i="2"/>
  <c r="G114" i="2"/>
  <c r="H114" i="2"/>
  <c r="H47" i="2" l="1"/>
  <c r="H48" i="2"/>
  <c r="H49" i="2"/>
  <c r="H50" i="2"/>
  <c r="D144" i="2"/>
  <c r="D143" i="2"/>
  <c r="D142" i="2"/>
  <c r="D141" i="2"/>
  <c r="D140" i="2"/>
  <c r="D139" i="2"/>
  <c r="D119" i="2"/>
  <c r="D114" i="2"/>
  <c r="D113" i="2"/>
  <c r="D112" i="2"/>
  <c r="D102" i="2"/>
  <c r="D101" i="2"/>
  <c r="D100" i="2"/>
  <c r="D99" i="2"/>
  <c r="D98" i="2"/>
  <c r="D97" i="2"/>
  <c r="D96" i="2"/>
  <c r="D95" i="2"/>
  <c r="D89" i="2"/>
  <c r="D87" i="2"/>
  <c r="D86" i="2"/>
  <c r="D85" i="2"/>
  <c r="D84" i="2" s="1"/>
  <c r="D81" i="2"/>
  <c r="D71" i="2"/>
  <c r="D70" i="2"/>
  <c r="D69" i="2"/>
  <c r="D68" i="2"/>
  <c r="D67" i="2"/>
  <c r="D66" i="2"/>
  <c r="D65" i="2"/>
  <c r="D64" i="2"/>
  <c r="D63" i="2"/>
  <c r="D62" i="2"/>
  <c r="D61" i="2"/>
  <c r="D58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36" i="2"/>
  <c r="D18" i="2"/>
  <c r="D17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5" i="2"/>
  <c r="D14" i="2"/>
  <c r="D13" i="2"/>
  <c r="D12" i="2"/>
  <c r="D11" i="2"/>
  <c r="D10" i="2"/>
  <c r="D9" i="2"/>
  <c r="D7" i="2"/>
  <c r="L22" i="10" l="1"/>
  <c r="G121" i="18" l="1"/>
  <c r="H121" i="18"/>
  <c r="D41" i="19" l="1"/>
  <c r="D36" i="19"/>
  <c r="D33" i="19"/>
  <c r="D24" i="19"/>
  <c r="D49" i="19" s="1"/>
  <c r="N87" i="20" l="1"/>
  <c r="T86" i="20" l="1"/>
  <c r="N86" i="20" s="1"/>
  <c r="L86" i="20"/>
  <c r="N85" i="20"/>
  <c r="N84" i="20"/>
  <c r="F84" i="20"/>
  <c r="AC55" i="20"/>
  <c r="AD55" i="20"/>
  <c r="AA55" i="20"/>
  <c r="AE55" i="20" s="1"/>
  <c r="AB55" i="20"/>
  <c r="AA69" i="20"/>
  <c r="AB69" i="20"/>
  <c r="AC69" i="20"/>
  <c r="AD69" i="20"/>
  <c r="AE69" i="20"/>
  <c r="AA70" i="20"/>
  <c r="AB70" i="20"/>
  <c r="AC70" i="20"/>
  <c r="AD70" i="20"/>
  <c r="AE70" i="20"/>
  <c r="AF70" i="20"/>
  <c r="AA48" i="20"/>
  <c r="AB48" i="20"/>
  <c r="AC48" i="20"/>
  <c r="AD48" i="20"/>
  <c r="AE48" i="20"/>
  <c r="AA49" i="20"/>
  <c r="AB49" i="20"/>
  <c r="AC49" i="20"/>
  <c r="AD49" i="20"/>
  <c r="AE49" i="20"/>
  <c r="AA50" i="20"/>
  <c r="AE50" i="20" s="1"/>
  <c r="AB50" i="20"/>
  <c r="AC50" i="20"/>
  <c r="AD50" i="20"/>
  <c r="AA51" i="20"/>
  <c r="AE51" i="20" s="1"/>
  <c r="AB51" i="20"/>
  <c r="AC51" i="20"/>
  <c r="AD51" i="20"/>
  <c r="AA52" i="20"/>
  <c r="AB52" i="20"/>
  <c r="AC52" i="20"/>
  <c r="AD52" i="20"/>
  <c r="AE52" i="20"/>
  <c r="AF55" i="20" l="1"/>
  <c r="AF69" i="20"/>
  <c r="AF52" i="20"/>
  <c r="AF50" i="20"/>
  <c r="AF51" i="20"/>
  <c r="AF49" i="20"/>
  <c r="AF48" i="20"/>
  <c r="AA43" i="20"/>
  <c r="AE43" i="20" s="1"/>
  <c r="AB43" i="20"/>
  <c r="AC43" i="20"/>
  <c r="AD43" i="20"/>
  <c r="AA35" i="20"/>
  <c r="AB35" i="20"/>
  <c r="AC35" i="20"/>
  <c r="AD35" i="20"/>
  <c r="AE35" i="20"/>
  <c r="AA36" i="20"/>
  <c r="AB36" i="20"/>
  <c r="AC36" i="20"/>
  <c r="AD36" i="20"/>
  <c r="AE36" i="20"/>
  <c r="AA37" i="20"/>
  <c r="AB37" i="20"/>
  <c r="AC37" i="20"/>
  <c r="AD37" i="20"/>
  <c r="AE37" i="20"/>
  <c r="AA38" i="20"/>
  <c r="AB38" i="20"/>
  <c r="AC38" i="20"/>
  <c r="AD38" i="20"/>
  <c r="AE38" i="20"/>
  <c r="AA39" i="20"/>
  <c r="AB39" i="20"/>
  <c r="AC39" i="20"/>
  <c r="AD39" i="20"/>
  <c r="AE39" i="20"/>
  <c r="AA40" i="20"/>
  <c r="AE40" i="20" s="1"/>
  <c r="AB40" i="20"/>
  <c r="AC40" i="20"/>
  <c r="AD40" i="20"/>
  <c r="AA41" i="20"/>
  <c r="AE41" i="20" s="1"/>
  <c r="AB41" i="20"/>
  <c r="AC41" i="20"/>
  <c r="AD41" i="20"/>
  <c r="AF39" i="20" l="1"/>
  <c r="AF37" i="20"/>
  <c r="AF40" i="20"/>
  <c r="AF38" i="20"/>
  <c r="AF36" i="20"/>
  <c r="AF43" i="20"/>
  <c r="AF41" i="20"/>
  <c r="AF35" i="20"/>
  <c r="G33" i="2" l="1"/>
  <c r="H33" i="2"/>
  <c r="Z67" i="20" l="1"/>
  <c r="Y67" i="20"/>
  <c r="F27" i="18" l="1"/>
  <c r="D27" i="18"/>
  <c r="E27" i="18"/>
  <c r="G32" i="18"/>
  <c r="H32" i="18"/>
  <c r="G31" i="18"/>
  <c r="H31" i="18"/>
  <c r="F111" i="2" l="1"/>
  <c r="G103" i="2"/>
  <c r="H103" i="2"/>
  <c r="D103" i="2"/>
  <c r="E94" i="2" l="1"/>
  <c r="F94" i="2"/>
  <c r="D94" i="2"/>
  <c r="C94" i="2"/>
  <c r="C53" i="18" l="1"/>
  <c r="C40" i="18"/>
  <c r="C19" i="18" l="1"/>
  <c r="F109" i="2"/>
  <c r="C19" i="19"/>
  <c r="C16" i="19"/>
  <c r="E111" i="2"/>
  <c r="E109" i="2" s="1"/>
  <c r="D111" i="2"/>
  <c r="D109" i="2" s="1"/>
  <c r="C111" i="2"/>
  <c r="C109" i="2" s="1"/>
  <c r="E60" i="2" l="1"/>
  <c r="F60" i="2"/>
  <c r="C60" i="2"/>
  <c r="C27" i="18" l="1"/>
  <c r="F19" i="2" l="1"/>
  <c r="F16" i="2" s="1"/>
  <c r="F8" i="2" s="1"/>
  <c r="G101" i="2"/>
  <c r="H101" i="2"/>
  <c r="AA33" i="20" l="1"/>
  <c r="AE33" i="20" s="1"/>
  <c r="AB33" i="20"/>
  <c r="AC33" i="20"/>
  <c r="AD33" i="20"/>
  <c r="G21" i="19"/>
  <c r="H21" i="19"/>
  <c r="AD68" i="20"/>
  <c r="AC68" i="20"/>
  <c r="AB60" i="20"/>
  <c r="AA65" i="20"/>
  <c r="AE65" i="20" s="1"/>
  <c r="AB65" i="20"/>
  <c r="AC65" i="20"/>
  <c r="AD65" i="20"/>
  <c r="AA59" i="20"/>
  <c r="AE59" i="20" s="1"/>
  <c r="AB59" i="20"/>
  <c r="AC59" i="20"/>
  <c r="AD59" i="20"/>
  <c r="AA60" i="20"/>
  <c r="AE60" i="20" s="1"/>
  <c r="AC60" i="20"/>
  <c r="AD60" i="20"/>
  <c r="AA34" i="20"/>
  <c r="AE34" i="20" s="1"/>
  <c r="AB34" i="20"/>
  <c r="AC34" i="20"/>
  <c r="AD34" i="20"/>
  <c r="G98" i="18"/>
  <c r="H98" i="18"/>
  <c r="D93" i="18"/>
  <c r="D110" i="14"/>
  <c r="D51" i="18"/>
  <c r="D45" i="18"/>
  <c r="D44" i="18" s="1"/>
  <c r="D39" i="18"/>
  <c r="C116" i="18"/>
  <c r="C111" i="18"/>
  <c r="C39" i="18"/>
  <c r="G36" i="2"/>
  <c r="H36" i="2"/>
  <c r="G37" i="2"/>
  <c r="H37" i="2"/>
  <c r="G38" i="2"/>
  <c r="H38" i="2"/>
  <c r="G39" i="2"/>
  <c r="H39" i="2"/>
  <c r="G40" i="2"/>
  <c r="H40" i="2"/>
  <c r="D79" i="14"/>
  <c r="D131" i="2"/>
  <c r="D77" i="14"/>
  <c r="D75" i="14"/>
  <c r="D74" i="14"/>
  <c r="F138" i="2"/>
  <c r="E138" i="2"/>
  <c r="E73" i="14" s="1"/>
  <c r="D133" i="2"/>
  <c r="D45" i="14"/>
  <c r="D60" i="2"/>
  <c r="D38" i="14"/>
  <c r="D34" i="14"/>
  <c r="G70" i="18"/>
  <c r="H70" i="18"/>
  <c r="G74" i="18"/>
  <c r="H74" i="18"/>
  <c r="G75" i="18"/>
  <c r="H75" i="18"/>
  <c r="G84" i="18"/>
  <c r="H84" i="18"/>
  <c r="G87" i="18"/>
  <c r="H87" i="18"/>
  <c r="H29" i="19"/>
  <c r="H44" i="19"/>
  <c r="D142" i="14"/>
  <c r="F15" i="10"/>
  <c r="N18" i="10"/>
  <c r="U6" i="20"/>
  <c r="U9" i="20" s="1"/>
  <c r="C137" i="14"/>
  <c r="G123" i="18"/>
  <c r="H123" i="18"/>
  <c r="G94" i="18"/>
  <c r="H94" i="18"/>
  <c r="E53" i="18"/>
  <c r="E52" i="18"/>
  <c r="E51" i="18"/>
  <c r="E50" i="18"/>
  <c r="E49" i="18"/>
  <c r="E48" i="18"/>
  <c r="E45" i="18"/>
  <c r="E43" i="18"/>
  <c r="E40" i="18"/>
  <c r="E39" i="18"/>
  <c r="F39" i="18"/>
  <c r="E19" i="19"/>
  <c r="E92" i="14" s="1"/>
  <c r="D53" i="18"/>
  <c r="D52" i="18"/>
  <c r="AA71" i="20"/>
  <c r="AA72" i="20" s="1"/>
  <c r="AB71" i="20"/>
  <c r="AA47" i="20"/>
  <c r="AB47" i="20"/>
  <c r="AC47" i="20"/>
  <c r="AD47" i="20"/>
  <c r="AE47" i="20"/>
  <c r="AA54" i="20"/>
  <c r="AE54" i="20" s="1"/>
  <c r="AB54" i="20"/>
  <c r="AC54" i="20"/>
  <c r="AD54" i="20"/>
  <c r="AA56" i="20"/>
  <c r="AB56" i="20"/>
  <c r="AC56" i="20"/>
  <c r="AD56" i="20"/>
  <c r="AE56" i="20"/>
  <c r="AA44" i="20"/>
  <c r="AE44" i="20" s="1"/>
  <c r="AB44" i="20"/>
  <c r="AC44" i="20"/>
  <c r="AD44" i="20"/>
  <c r="X6" i="20"/>
  <c r="C52" i="18"/>
  <c r="C51" i="18"/>
  <c r="C50" i="18"/>
  <c r="C49" i="18"/>
  <c r="C48" i="18"/>
  <c r="C45" i="18"/>
  <c r="C44" i="18" s="1"/>
  <c r="C43" i="18"/>
  <c r="G57" i="18"/>
  <c r="C11" i="18"/>
  <c r="C88" i="2"/>
  <c r="C47" i="14" s="1"/>
  <c r="D134" i="2"/>
  <c r="D135" i="2"/>
  <c r="E57" i="2"/>
  <c r="E35" i="2" s="1"/>
  <c r="E37" i="14" s="1"/>
  <c r="D76" i="14"/>
  <c r="G20" i="18"/>
  <c r="G91" i="18"/>
  <c r="H91" i="18"/>
  <c r="G125" i="18"/>
  <c r="H125" i="18"/>
  <c r="G15" i="11"/>
  <c r="I47" i="10"/>
  <c r="F47" i="10"/>
  <c r="J46" i="10"/>
  <c r="F19" i="19"/>
  <c r="D19" i="19" s="1"/>
  <c r="D92" i="14" s="1"/>
  <c r="H90" i="20"/>
  <c r="J90" i="20"/>
  <c r="L90" i="20"/>
  <c r="N90" i="20"/>
  <c r="P90" i="20"/>
  <c r="R90" i="20"/>
  <c r="T90" i="20"/>
  <c r="F90" i="20"/>
  <c r="D35" i="18"/>
  <c r="D36" i="18"/>
  <c r="D37" i="18"/>
  <c r="D41" i="18"/>
  <c r="D42" i="18"/>
  <c r="D46" i="18"/>
  <c r="D54" i="18"/>
  <c r="E111" i="18"/>
  <c r="F111" i="18"/>
  <c r="F55" i="18"/>
  <c r="F53" i="18"/>
  <c r="F52" i="18"/>
  <c r="F51" i="18"/>
  <c r="F50" i="18"/>
  <c r="F49" i="18"/>
  <c r="F48" i="18"/>
  <c r="F45" i="18"/>
  <c r="F44" i="18" s="1"/>
  <c r="F40" i="18"/>
  <c r="F43" i="18"/>
  <c r="G29" i="18"/>
  <c r="H29" i="18"/>
  <c r="H20" i="18"/>
  <c r="H25" i="18"/>
  <c r="G22" i="18"/>
  <c r="H22" i="18"/>
  <c r="G23" i="18"/>
  <c r="H23" i="18"/>
  <c r="H11" i="18"/>
  <c r="H12" i="18"/>
  <c r="H13" i="18"/>
  <c r="H14" i="18"/>
  <c r="H38" i="19"/>
  <c r="H39" i="19"/>
  <c r="H40" i="19"/>
  <c r="H20" i="19"/>
  <c r="G20" i="19"/>
  <c r="H102" i="2"/>
  <c r="H100" i="2"/>
  <c r="F88" i="2"/>
  <c r="G71" i="2"/>
  <c r="H71" i="2"/>
  <c r="H11" i="2"/>
  <c r="AA42" i="20"/>
  <c r="AE42" i="20" s="1"/>
  <c r="AB42" i="20"/>
  <c r="AC42" i="20"/>
  <c r="AD42" i="20"/>
  <c r="W71" i="20"/>
  <c r="W72" i="20" s="1"/>
  <c r="Y63" i="20"/>
  <c r="Z63" i="20"/>
  <c r="D19" i="11"/>
  <c r="F19" i="11" s="1"/>
  <c r="D15" i="11"/>
  <c r="F15" i="11" s="1"/>
  <c r="E93" i="18"/>
  <c r="F93" i="18"/>
  <c r="C93" i="18"/>
  <c r="E116" i="18"/>
  <c r="F116" i="18"/>
  <c r="E69" i="18"/>
  <c r="F69" i="18"/>
  <c r="C69" i="18"/>
  <c r="F19" i="10"/>
  <c r="I11" i="10"/>
  <c r="F11" i="10"/>
  <c r="E167" i="14"/>
  <c r="E165" i="14"/>
  <c r="C19" i="10"/>
  <c r="C15" i="10"/>
  <c r="C11" i="10"/>
  <c r="C33" i="19"/>
  <c r="C24" i="19" s="1"/>
  <c r="C95" i="14" s="1"/>
  <c r="C132" i="2"/>
  <c r="C83" i="2"/>
  <c r="C80" i="2" s="1"/>
  <c r="C44" i="14" s="1"/>
  <c r="C19" i="2"/>
  <c r="C16" i="2" s="1"/>
  <c r="C8" i="2" s="1"/>
  <c r="C34" i="2" s="1"/>
  <c r="E55" i="18"/>
  <c r="F21" i="18"/>
  <c r="F19" i="18" s="1"/>
  <c r="F9" i="18" s="1"/>
  <c r="E21" i="18"/>
  <c r="E19" i="18" s="1"/>
  <c r="F36" i="19"/>
  <c r="E36" i="19"/>
  <c r="E103" i="14" s="1"/>
  <c r="D98" i="14"/>
  <c r="D99" i="14"/>
  <c r="D101" i="14"/>
  <c r="D102" i="14"/>
  <c r="E33" i="19"/>
  <c r="E24" i="19" s="1"/>
  <c r="F33" i="19"/>
  <c r="D86" i="14"/>
  <c r="D87" i="14"/>
  <c r="D89" i="14"/>
  <c r="D90" i="14"/>
  <c r="D91" i="14"/>
  <c r="D83" i="14"/>
  <c r="G102" i="2"/>
  <c r="G32" i="2"/>
  <c r="H32" i="2"/>
  <c r="E133" i="2"/>
  <c r="F133" i="2"/>
  <c r="E132" i="2"/>
  <c r="F132" i="2"/>
  <c r="E131" i="2"/>
  <c r="F131" i="2"/>
  <c r="O49" i="10"/>
  <c r="J48" i="10"/>
  <c r="H145" i="18"/>
  <c r="G145" i="18"/>
  <c r="H120" i="18"/>
  <c r="G120" i="18"/>
  <c r="H119" i="18"/>
  <c r="G119" i="18"/>
  <c r="H118" i="18"/>
  <c r="G118" i="18"/>
  <c r="H117" i="18"/>
  <c r="G117" i="18"/>
  <c r="H115" i="18"/>
  <c r="G115" i="18"/>
  <c r="H114" i="18"/>
  <c r="G114" i="18"/>
  <c r="H113" i="18"/>
  <c r="G113" i="18"/>
  <c r="H112" i="18"/>
  <c r="G112" i="18"/>
  <c r="H110" i="18"/>
  <c r="G110" i="18"/>
  <c r="H92" i="18"/>
  <c r="G92" i="18"/>
  <c r="H90" i="18"/>
  <c r="G90" i="18"/>
  <c r="G67" i="18"/>
  <c r="G66" i="18"/>
  <c r="G65" i="18"/>
  <c r="G64" i="18"/>
  <c r="H60" i="18"/>
  <c r="G60" i="18"/>
  <c r="H56" i="18"/>
  <c r="G56" i="18"/>
  <c r="H54" i="18"/>
  <c r="G54" i="18"/>
  <c r="F41" i="19"/>
  <c r="E41" i="19"/>
  <c r="E104" i="14" s="1"/>
  <c r="C145" i="14"/>
  <c r="C142" i="14"/>
  <c r="D137" i="14"/>
  <c r="C119" i="14"/>
  <c r="C120" i="14"/>
  <c r="C121" i="14"/>
  <c r="C122" i="14"/>
  <c r="C118" i="14"/>
  <c r="AD66" i="20"/>
  <c r="AC66" i="20"/>
  <c r="AD64" i="20"/>
  <c r="AC64" i="20"/>
  <c r="AC62" i="20"/>
  <c r="AC61" i="20"/>
  <c r="AD58" i="20"/>
  <c r="AC58" i="20"/>
  <c r="AD53" i="20"/>
  <c r="AC53" i="20"/>
  <c r="AD46" i="20"/>
  <c r="AC46" i="20"/>
  <c r="AB68" i="20"/>
  <c r="AA68" i="20"/>
  <c r="AE68" i="20" s="1"/>
  <c r="AD67" i="20"/>
  <c r="F11" i="3" s="1"/>
  <c r="E11" i="3"/>
  <c r="AB66" i="20"/>
  <c r="AA66" i="20"/>
  <c r="AE66" i="20" s="1"/>
  <c r="AB64" i="20"/>
  <c r="AA64" i="20"/>
  <c r="AE64" i="20" s="1"/>
  <c r="AD61" i="20"/>
  <c r="AA61" i="20"/>
  <c r="AE61" i="20" s="1"/>
  <c r="AB58" i="20"/>
  <c r="AA58" i="20"/>
  <c r="AE58" i="20" s="1"/>
  <c r="Y57" i="20"/>
  <c r="AB53" i="20"/>
  <c r="AA53" i="20"/>
  <c r="AE53" i="20" s="1"/>
  <c r="AB46" i="20"/>
  <c r="AA46" i="20"/>
  <c r="AE46" i="20" s="1"/>
  <c r="Y45" i="20"/>
  <c r="Z32" i="20"/>
  <c r="V72" i="20"/>
  <c r="F127" i="14" s="1"/>
  <c r="U72" i="20"/>
  <c r="S72" i="20"/>
  <c r="R72" i="20"/>
  <c r="F126" i="14" s="1"/>
  <c r="Q72" i="20"/>
  <c r="E126" i="14" s="1"/>
  <c r="O72" i="20"/>
  <c r="N72" i="20"/>
  <c r="F125" i="14" s="1"/>
  <c r="M72" i="20"/>
  <c r="E134" i="2"/>
  <c r="F134" i="2"/>
  <c r="E135" i="2"/>
  <c r="F135" i="2"/>
  <c r="C131" i="2"/>
  <c r="G110" i="2"/>
  <c r="G111" i="2"/>
  <c r="E57" i="14"/>
  <c r="G109" i="2"/>
  <c r="G85" i="2"/>
  <c r="H85" i="2"/>
  <c r="AB61" i="20"/>
  <c r="AB62" i="20"/>
  <c r="Z57" i="20"/>
  <c r="E83" i="2"/>
  <c r="AE72" i="20"/>
  <c r="X20" i="20"/>
  <c r="U20" i="20"/>
  <c r="R20" i="20"/>
  <c r="AD19" i="20"/>
  <c r="AA19" i="20"/>
  <c r="R9" i="20"/>
  <c r="AD8" i="20"/>
  <c r="AA8" i="20"/>
  <c r="AD7" i="20"/>
  <c r="AA7" i="20"/>
  <c r="H140" i="2"/>
  <c r="H89" i="2"/>
  <c r="E78" i="14"/>
  <c r="E145" i="2"/>
  <c r="C75" i="14"/>
  <c r="C138" i="2"/>
  <c r="C145" i="2" s="1"/>
  <c r="G100" i="2"/>
  <c r="H99" i="2"/>
  <c r="H98" i="2"/>
  <c r="H95" i="2"/>
  <c r="G70" i="2"/>
  <c r="H70" i="2"/>
  <c r="H67" i="2"/>
  <c r="H66" i="2"/>
  <c r="H65" i="2"/>
  <c r="G64" i="2"/>
  <c r="H64" i="2"/>
  <c r="H63" i="2"/>
  <c r="G62" i="2"/>
  <c r="G61" i="2"/>
  <c r="G55" i="2"/>
  <c r="G46" i="2"/>
  <c r="G45" i="2"/>
  <c r="G43" i="2"/>
  <c r="G41" i="2"/>
  <c r="H31" i="2"/>
  <c r="G29" i="2"/>
  <c r="H21" i="2"/>
  <c r="G10" i="2"/>
  <c r="G9" i="2"/>
  <c r="C6" i="3"/>
  <c r="C72" i="2"/>
  <c r="C43" i="14" s="1"/>
  <c r="C115" i="2"/>
  <c r="C133" i="2"/>
  <c r="C134" i="2"/>
  <c r="C135" i="2"/>
  <c r="G7" i="2"/>
  <c r="H7" i="2"/>
  <c r="H9" i="2"/>
  <c r="H10" i="2"/>
  <c r="G12" i="2"/>
  <c r="H12" i="2"/>
  <c r="G14" i="2"/>
  <c r="H14" i="2"/>
  <c r="G17" i="2"/>
  <c r="H17" i="2"/>
  <c r="G20" i="2"/>
  <c r="H20" i="2"/>
  <c r="G21" i="2"/>
  <c r="G24" i="2"/>
  <c r="G25" i="2"/>
  <c r="H26" i="2"/>
  <c r="G27" i="2"/>
  <c r="H27" i="2"/>
  <c r="G28" i="2"/>
  <c r="H28" i="2"/>
  <c r="H29" i="2"/>
  <c r="G31" i="2"/>
  <c r="H41" i="2"/>
  <c r="H43" i="2"/>
  <c r="G47" i="2"/>
  <c r="G48" i="2"/>
  <c r="G49" i="2"/>
  <c r="G50" i="2"/>
  <c r="G52" i="2"/>
  <c r="G53" i="2"/>
  <c r="G54" i="2"/>
  <c r="H54" i="2"/>
  <c r="H55" i="2"/>
  <c r="G56" i="2"/>
  <c r="H58" i="2"/>
  <c r="G59" i="2"/>
  <c r="H61" i="2"/>
  <c r="G63" i="2"/>
  <c r="G65" i="2"/>
  <c r="G66" i="2"/>
  <c r="G81" i="2"/>
  <c r="H81" i="2"/>
  <c r="G82" i="2"/>
  <c r="G87" i="2"/>
  <c r="H87" i="2"/>
  <c r="G91" i="2"/>
  <c r="G92" i="2"/>
  <c r="G93" i="2"/>
  <c r="G96" i="2"/>
  <c r="H96" i="2"/>
  <c r="G98" i="2"/>
  <c r="G105" i="2"/>
  <c r="G107" i="2"/>
  <c r="H111" i="2"/>
  <c r="G115" i="2"/>
  <c r="G122" i="2"/>
  <c r="G128" i="2"/>
  <c r="G140" i="2"/>
  <c r="G144" i="2"/>
  <c r="H144" i="2"/>
  <c r="G11" i="2"/>
  <c r="G72" i="2"/>
  <c r="C160" i="14"/>
  <c r="C134" i="14"/>
  <c r="C55" i="18"/>
  <c r="E49" i="10"/>
  <c r="D49" i="10"/>
  <c r="G37" i="19"/>
  <c r="G34" i="19"/>
  <c r="F97" i="14"/>
  <c r="L14" i="10"/>
  <c r="F43" i="14"/>
  <c r="M48" i="10"/>
  <c r="N48" i="10"/>
  <c r="O48" i="10"/>
  <c r="E109" i="14"/>
  <c r="E114" i="14"/>
  <c r="F161" i="14"/>
  <c r="G30" i="18"/>
  <c r="H30" i="18"/>
  <c r="E43" i="14"/>
  <c r="E143" i="18"/>
  <c r="G38" i="19"/>
  <c r="G24" i="18"/>
  <c r="H24" i="18"/>
  <c r="G25" i="18"/>
  <c r="G19" i="11"/>
  <c r="D145" i="14"/>
  <c r="C63" i="14"/>
  <c r="E63" i="14"/>
  <c r="C64" i="14"/>
  <c r="E64" i="14"/>
  <c r="C65" i="14"/>
  <c r="E65" i="14"/>
  <c r="G138" i="14"/>
  <c r="H138" i="14"/>
  <c r="G139" i="14"/>
  <c r="H139" i="14"/>
  <c r="G140" i="14"/>
  <c r="H140" i="14"/>
  <c r="G143" i="14"/>
  <c r="H143" i="14"/>
  <c r="G144" i="14"/>
  <c r="H144" i="14"/>
  <c r="G146" i="14"/>
  <c r="H146" i="14"/>
  <c r="G147" i="14"/>
  <c r="H147" i="14"/>
  <c r="H136" i="14"/>
  <c r="G136" i="14"/>
  <c r="F157" i="14"/>
  <c r="F156" i="14"/>
  <c r="F155" i="14"/>
  <c r="E157" i="14"/>
  <c r="E156" i="14"/>
  <c r="E155" i="14"/>
  <c r="H155" i="14" s="1"/>
  <c r="F153" i="14"/>
  <c r="F152" i="14"/>
  <c r="H152" i="14" s="1"/>
  <c r="F151" i="14"/>
  <c r="E153" i="14"/>
  <c r="G153" i="14" s="1"/>
  <c r="E152" i="14"/>
  <c r="E151" i="14"/>
  <c r="D75" i="10"/>
  <c r="H75" i="10"/>
  <c r="L75" i="10"/>
  <c r="N72" i="10"/>
  <c r="N69" i="10"/>
  <c r="N66" i="10"/>
  <c r="F75" i="10"/>
  <c r="J75" i="10"/>
  <c r="M46" i="10"/>
  <c r="N46" i="10"/>
  <c r="O46" i="10"/>
  <c r="M47" i="10"/>
  <c r="N47" i="10"/>
  <c r="O45" i="10"/>
  <c r="N45" i="10"/>
  <c r="M45" i="10"/>
  <c r="K46" i="10"/>
  <c r="L46" i="10"/>
  <c r="J47" i="10"/>
  <c r="K47" i="10"/>
  <c r="L45" i="10"/>
  <c r="K45" i="10"/>
  <c r="J45" i="10"/>
  <c r="G49" i="10"/>
  <c r="E161" i="14"/>
  <c r="E162" i="14"/>
  <c r="F160" i="14"/>
  <c r="E160" i="14"/>
  <c r="H160" i="14" s="1"/>
  <c r="C76" i="14"/>
  <c r="C163" i="14" s="1"/>
  <c r="N12" i="10"/>
  <c r="N16" i="10"/>
  <c r="N20" i="10"/>
  <c r="N21" i="10"/>
  <c r="L12" i="10"/>
  <c r="L16" i="10"/>
  <c r="L20" i="10"/>
  <c r="D134" i="14"/>
  <c r="D123" i="14"/>
  <c r="E123" i="14"/>
  <c r="F123" i="14"/>
  <c r="H123" i="14" s="1"/>
  <c r="C123" i="14"/>
  <c r="D109" i="14"/>
  <c r="F109" i="14"/>
  <c r="E110" i="14"/>
  <c r="F110" i="14"/>
  <c r="D114" i="14"/>
  <c r="F114" i="14"/>
  <c r="G114" i="14" s="1"/>
  <c r="C114" i="14"/>
  <c r="C110" i="14"/>
  <c r="C109" i="14"/>
  <c r="E19" i="11"/>
  <c r="C78" i="14"/>
  <c r="E15" i="11"/>
  <c r="G12" i="3"/>
  <c r="G10" i="18"/>
  <c r="H10" i="18"/>
  <c r="G11" i="18"/>
  <c r="G12" i="18"/>
  <c r="G13" i="18"/>
  <c r="G14" i="18"/>
  <c r="G16" i="18"/>
  <c r="H16" i="18"/>
  <c r="G17" i="18"/>
  <c r="H17" i="18"/>
  <c r="G18" i="18"/>
  <c r="H18" i="18"/>
  <c r="G33" i="18"/>
  <c r="H33" i="18"/>
  <c r="G35" i="18"/>
  <c r="H35" i="18"/>
  <c r="G36" i="18"/>
  <c r="H36" i="18"/>
  <c r="G37" i="18"/>
  <c r="H37" i="18"/>
  <c r="G41" i="18"/>
  <c r="H41" i="18"/>
  <c r="G42" i="18"/>
  <c r="H42" i="18"/>
  <c r="F34" i="18"/>
  <c r="D34" i="18" s="1"/>
  <c r="F63" i="18"/>
  <c r="F130" i="18"/>
  <c r="F128" i="18" s="1"/>
  <c r="F143" i="18" s="1"/>
  <c r="F113" i="14" s="1"/>
  <c r="F137" i="18"/>
  <c r="E15" i="18"/>
  <c r="G15" i="18" s="1"/>
  <c r="E34" i="18"/>
  <c r="E62" i="18"/>
  <c r="G62" i="18" s="1"/>
  <c r="E129" i="18"/>
  <c r="E127" i="18" s="1"/>
  <c r="H127" i="18" s="1"/>
  <c r="E136" i="18"/>
  <c r="C15" i="18"/>
  <c r="C34" i="18"/>
  <c r="C63" i="18"/>
  <c r="C130" i="18"/>
  <c r="C128" i="18" s="1"/>
  <c r="C137" i="18"/>
  <c r="C135" i="18" s="1"/>
  <c r="D106" i="14"/>
  <c r="E106" i="14"/>
  <c r="C106" i="14"/>
  <c r="D105" i="14"/>
  <c r="E105" i="14"/>
  <c r="F105" i="14"/>
  <c r="C105" i="14"/>
  <c r="E96" i="14"/>
  <c r="E97" i="14"/>
  <c r="E98" i="14"/>
  <c r="E99" i="14"/>
  <c r="F99" i="14"/>
  <c r="H99" i="14" s="1"/>
  <c r="E100" i="14"/>
  <c r="E101" i="14"/>
  <c r="F101" i="14"/>
  <c r="E102" i="14"/>
  <c r="F102" i="14"/>
  <c r="C96" i="14"/>
  <c r="C97" i="14"/>
  <c r="C98" i="14"/>
  <c r="C99" i="14"/>
  <c r="C100" i="14"/>
  <c r="C101" i="14"/>
  <c r="C102" i="14"/>
  <c r="E90" i="14"/>
  <c r="F90" i="14"/>
  <c r="E91" i="14"/>
  <c r="F91" i="14"/>
  <c r="H91" i="14" s="1"/>
  <c r="C91" i="14"/>
  <c r="C92" i="14"/>
  <c r="C90" i="14"/>
  <c r="C87" i="14"/>
  <c r="E87" i="14"/>
  <c r="F87" i="14"/>
  <c r="C88" i="14"/>
  <c r="D88" i="14"/>
  <c r="E88" i="14"/>
  <c r="F88" i="14"/>
  <c r="C89" i="14"/>
  <c r="E89" i="14"/>
  <c r="F89" i="14"/>
  <c r="C85" i="14"/>
  <c r="C86" i="14"/>
  <c r="E86" i="14"/>
  <c r="F86" i="14"/>
  <c r="H86" i="14" s="1"/>
  <c r="E83" i="14"/>
  <c r="F83" i="14"/>
  <c r="C83" i="14"/>
  <c r="E46" i="19"/>
  <c r="H46" i="19" s="1"/>
  <c r="C46" i="19"/>
  <c r="C41" i="19"/>
  <c r="C36" i="19"/>
  <c r="C103" i="14" s="1"/>
  <c r="H26" i="19"/>
  <c r="H28" i="19"/>
  <c r="H30" i="19"/>
  <c r="H31" i="19"/>
  <c r="H32" i="19"/>
  <c r="H37" i="19"/>
  <c r="H42" i="19"/>
  <c r="H43" i="19"/>
  <c r="H47" i="19"/>
  <c r="H48" i="19"/>
  <c r="H10" i="19"/>
  <c r="H11" i="19"/>
  <c r="H12" i="19"/>
  <c r="H13" i="19"/>
  <c r="H14" i="19"/>
  <c r="H15" i="19"/>
  <c r="H16" i="19"/>
  <c r="C8" i="19"/>
  <c r="C74" i="14"/>
  <c r="C77" i="14"/>
  <c r="C79" i="14"/>
  <c r="E68" i="14"/>
  <c r="C68" i="14"/>
  <c r="E60" i="14"/>
  <c r="C60" i="14"/>
  <c r="C58" i="14"/>
  <c r="E58" i="14"/>
  <c r="E56" i="14"/>
  <c r="C56" i="14"/>
  <c r="E55" i="14"/>
  <c r="C55" i="14"/>
  <c r="E54" i="14"/>
  <c r="C54" i="14"/>
  <c r="E53" i="14"/>
  <c r="C53" i="14"/>
  <c r="C48" i="14"/>
  <c r="C49" i="14"/>
  <c r="C45" i="14"/>
  <c r="C46" i="14"/>
  <c r="G71" i="14"/>
  <c r="G72" i="14"/>
  <c r="C38" i="14"/>
  <c r="E38" i="14"/>
  <c r="C39" i="14"/>
  <c r="E39" i="14"/>
  <c r="C40" i="14"/>
  <c r="E40" i="14"/>
  <c r="C41" i="14"/>
  <c r="E41" i="14"/>
  <c r="C42" i="14"/>
  <c r="E42" i="14"/>
  <c r="H71" i="14"/>
  <c r="H72" i="14"/>
  <c r="C34" i="14"/>
  <c r="D154" i="14"/>
  <c r="C154" i="14"/>
  <c r="D150" i="14"/>
  <c r="C150" i="14"/>
  <c r="G31" i="19"/>
  <c r="K59" i="10"/>
  <c r="G48" i="19"/>
  <c r="G43" i="19"/>
  <c r="G42" i="19"/>
  <c r="G40" i="19"/>
  <c r="G32" i="19"/>
  <c r="G30" i="19"/>
  <c r="G28" i="19"/>
  <c r="G26" i="19"/>
  <c r="G16" i="19"/>
  <c r="G15" i="19"/>
  <c r="G14" i="19"/>
  <c r="G13" i="19"/>
  <c r="G12" i="19"/>
  <c r="G11" i="19"/>
  <c r="G10" i="19"/>
  <c r="E113" i="14"/>
  <c r="D113" i="14"/>
  <c r="E77" i="14"/>
  <c r="E74" i="14"/>
  <c r="E75" i="14"/>
  <c r="E79" i="14"/>
  <c r="E76" i="14"/>
  <c r="E163" i="14" s="1"/>
  <c r="L13" i="10"/>
  <c r="N13" i="10"/>
  <c r="F75" i="14"/>
  <c r="E48" i="14"/>
  <c r="F162" i="14"/>
  <c r="N14" i="10"/>
  <c r="E34" i="14"/>
  <c r="F79" i="14"/>
  <c r="E59" i="14"/>
  <c r="E45" i="14"/>
  <c r="F34" i="14"/>
  <c r="G34" i="14" s="1"/>
  <c r="D41" i="14"/>
  <c r="F40" i="14"/>
  <c r="H40" i="14" s="1"/>
  <c r="D60" i="14"/>
  <c r="D54" i="14"/>
  <c r="D59" i="14"/>
  <c r="D40" i="14"/>
  <c r="D56" i="14"/>
  <c r="D53" i="14"/>
  <c r="D39" i="14"/>
  <c r="D64" i="14"/>
  <c r="D42" i="14"/>
  <c r="D65" i="14"/>
  <c r="D49" i="14"/>
  <c r="F45" i="14"/>
  <c r="D68" i="14"/>
  <c r="F53" i="14"/>
  <c r="D63" i="14"/>
  <c r="F63" i="14"/>
  <c r="F60" i="14"/>
  <c r="F64" i="14"/>
  <c r="F68" i="14"/>
  <c r="G68" i="14" s="1"/>
  <c r="F49" i="14"/>
  <c r="F65" i="14"/>
  <c r="F56" i="14"/>
  <c r="F59" i="14"/>
  <c r="F54" i="14"/>
  <c r="D58" i="14"/>
  <c r="D55" i="14"/>
  <c r="D43" i="14"/>
  <c r="E49" i="14"/>
  <c r="F39" i="14"/>
  <c r="F55" i="14"/>
  <c r="F48" i="14"/>
  <c r="F42" i="14"/>
  <c r="G42" i="14" s="1"/>
  <c r="F58" i="14"/>
  <c r="F41" i="14"/>
  <c r="F38" i="14"/>
  <c r="D46" i="14"/>
  <c r="E46" i="14"/>
  <c r="F46" i="14"/>
  <c r="L21" i="10"/>
  <c r="G25" i="19"/>
  <c r="H25" i="19"/>
  <c r="F96" i="14"/>
  <c r="D96" i="14"/>
  <c r="G27" i="19"/>
  <c r="H27" i="19"/>
  <c r="F98" i="14"/>
  <c r="G39" i="19"/>
  <c r="G29" i="19"/>
  <c r="F100" i="14"/>
  <c r="H34" i="19"/>
  <c r="F106" i="14"/>
  <c r="G44" i="19"/>
  <c r="G51" i="2"/>
  <c r="H51" i="2"/>
  <c r="G90" i="2"/>
  <c r="H35" i="19"/>
  <c r="G35" i="19"/>
  <c r="H24" i="2"/>
  <c r="G67" i="2"/>
  <c r="H49" i="10"/>
  <c r="N49" i="10" s="1"/>
  <c r="G95" i="2"/>
  <c r="G42" i="2"/>
  <c r="G26" i="2"/>
  <c r="H42" i="2"/>
  <c r="G58" i="2"/>
  <c r="G15" i="2"/>
  <c r="H15" i="2"/>
  <c r="H46" i="2"/>
  <c r="G44" i="2"/>
  <c r="H62" i="2"/>
  <c r="H97" i="2"/>
  <c r="G141" i="2"/>
  <c r="F74" i="14"/>
  <c r="G139" i="2"/>
  <c r="H139" i="2"/>
  <c r="G143" i="2"/>
  <c r="F78" i="14"/>
  <c r="H143" i="2"/>
  <c r="H141" i="2"/>
  <c r="G89" i="2"/>
  <c r="G99" i="2"/>
  <c r="G142" i="2"/>
  <c r="H142" i="2"/>
  <c r="H44" i="2"/>
  <c r="F76" i="14"/>
  <c r="F163" i="14" s="1"/>
  <c r="G97" i="2"/>
  <c r="F77" i="14"/>
  <c r="G30" i="2"/>
  <c r="H30" i="2"/>
  <c r="H18" i="2"/>
  <c r="G18" i="2"/>
  <c r="Z45" i="20"/>
  <c r="N17" i="10"/>
  <c r="L17" i="10"/>
  <c r="H27" i="18"/>
  <c r="H45" i="2"/>
  <c r="AD62" i="20"/>
  <c r="AA62" i="20"/>
  <c r="AE62" i="20" s="1"/>
  <c r="G13" i="2"/>
  <c r="H13" i="2"/>
  <c r="G22" i="2"/>
  <c r="H22" i="2"/>
  <c r="E19" i="2"/>
  <c r="G19" i="2" s="1"/>
  <c r="G23" i="2"/>
  <c r="H23" i="2"/>
  <c r="Y32" i="20"/>
  <c r="F103" i="14"/>
  <c r="G7" i="19"/>
  <c r="H7" i="19"/>
  <c r="H15" i="18"/>
  <c r="C62" i="14"/>
  <c r="D78" i="14"/>
  <c r="F104" i="14"/>
  <c r="F57" i="14"/>
  <c r="L18" i="10"/>
  <c r="C57" i="2"/>
  <c r="C35" i="2" s="1"/>
  <c r="I15" i="10"/>
  <c r="D48" i="18"/>
  <c r="D104" i="14"/>
  <c r="D50" i="18"/>
  <c r="C59" i="14"/>
  <c r="H109" i="2"/>
  <c r="F166" i="14"/>
  <c r="G27" i="18"/>
  <c r="D49" i="18"/>
  <c r="F83" i="2"/>
  <c r="F80" i="2" s="1"/>
  <c r="G84" i="2"/>
  <c r="H94" i="2"/>
  <c r="H84" i="2"/>
  <c r="G60" i="2"/>
  <c r="H114" i="14"/>
  <c r="D57" i="14"/>
  <c r="F34" i="2"/>
  <c r="E122" i="14" l="1"/>
  <c r="AD32" i="20"/>
  <c r="E9" i="3"/>
  <c r="E7" i="3"/>
  <c r="F8" i="3"/>
  <c r="F119" i="14" s="1"/>
  <c r="E8" i="3"/>
  <c r="H54" i="14"/>
  <c r="G63" i="14"/>
  <c r="G127" i="18"/>
  <c r="G64" i="14"/>
  <c r="H87" i="14"/>
  <c r="G134" i="14"/>
  <c r="N75" i="10"/>
  <c r="G36" i="19"/>
  <c r="H64" i="14"/>
  <c r="H49" i="14"/>
  <c r="G162" i="14"/>
  <c r="G83" i="14"/>
  <c r="H11" i="3"/>
  <c r="D11" i="3"/>
  <c r="G86" i="14"/>
  <c r="T72" i="20"/>
  <c r="D148" i="14"/>
  <c r="D133" i="14" s="1"/>
  <c r="G137" i="14"/>
  <c r="B18" i="14"/>
  <c r="L11" i="10"/>
  <c r="G106" i="14"/>
  <c r="E95" i="14"/>
  <c r="E49" i="19"/>
  <c r="E107" i="14" s="1"/>
  <c r="H33" i="19"/>
  <c r="AB57" i="20"/>
  <c r="AA45" i="20"/>
  <c r="AE45" i="20" s="1"/>
  <c r="AC57" i="20"/>
  <c r="AF44" i="20"/>
  <c r="AF47" i="20"/>
  <c r="G126" i="14"/>
  <c r="AA32" i="20"/>
  <c r="AE32" i="20" s="1"/>
  <c r="AF61" i="20"/>
  <c r="G151" i="14"/>
  <c r="H153" i="14"/>
  <c r="G155" i="14"/>
  <c r="H162" i="14"/>
  <c r="H109" i="14"/>
  <c r="H50" i="18"/>
  <c r="H100" i="14"/>
  <c r="H104" i="14"/>
  <c r="G41" i="19"/>
  <c r="G96" i="14"/>
  <c r="G78" i="14"/>
  <c r="G131" i="2"/>
  <c r="G77" i="14"/>
  <c r="G163" i="14"/>
  <c r="G57" i="14"/>
  <c r="G94" i="2"/>
  <c r="H19" i="2"/>
  <c r="E16" i="2"/>
  <c r="H16" i="2" s="1"/>
  <c r="H68" i="14"/>
  <c r="H43" i="14"/>
  <c r="H142" i="14"/>
  <c r="C117" i="14"/>
  <c r="C128" i="14" s="1"/>
  <c r="C124" i="14" s="1"/>
  <c r="H43" i="18"/>
  <c r="C84" i="14"/>
  <c r="C35" i="14"/>
  <c r="C36" i="14" s="1"/>
  <c r="D7" i="11" s="1"/>
  <c r="F7" i="11" s="1"/>
  <c r="H56" i="14"/>
  <c r="H131" i="2"/>
  <c r="G89" i="14"/>
  <c r="H102" i="14"/>
  <c r="AF53" i="20"/>
  <c r="G76" i="14"/>
  <c r="AC45" i="20"/>
  <c r="AA67" i="20"/>
  <c r="AE67" i="20" s="1"/>
  <c r="AD45" i="20"/>
  <c r="D48" i="14"/>
  <c r="H77" i="14"/>
  <c r="L24" i="10"/>
  <c r="D138" i="2"/>
  <c r="D73" i="14" s="1"/>
  <c r="D80" i="14" s="1"/>
  <c r="AC67" i="20"/>
  <c r="AF66" i="20"/>
  <c r="G43" i="18"/>
  <c r="H96" i="14"/>
  <c r="AC32" i="20"/>
  <c r="AF32" i="20" s="1"/>
  <c r="G54" i="14"/>
  <c r="G91" i="14"/>
  <c r="D132" i="2"/>
  <c r="H83" i="2"/>
  <c r="H41" i="19"/>
  <c r="H83" i="14"/>
  <c r="D100" i="14"/>
  <c r="AB45" i="20"/>
  <c r="H75" i="14"/>
  <c r="H88" i="14"/>
  <c r="G87" i="14"/>
  <c r="G43" i="14"/>
  <c r="H126" i="14"/>
  <c r="H137" i="14"/>
  <c r="G132" i="2"/>
  <c r="L25" i="10"/>
  <c r="D19" i="2"/>
  <c r="D16" i="2" s="1"/>
  <c r="D8" i="2" s="1"/>
  <c r="D34" i="2" s="1"/>
  <c r="D83" i="2"/>
  <c r="D80" i="2" s="1"/>
  <c r="D126" i="2" s="1"/>
  <c r="AF59" i="20"/>
  <c r="AF65" i="20"/>
  <c r="H110" i="14"/>
  <c r="H93" i="18"/>
  <c r="H48" i="18"/>
  <c r="H52" i="18"/>
  <c r="E9" i="18"/>
  <c r="H9" i="18" s="1"/>
  <c r="C9" i="18"/>
  <c r="G34" i="18"/>
  <c r="G48" i="18"/>
  <c r="G52" i="18"/>
  <c r="H111" i="18"/>
  <c r="C47" i="18"/>
  <c r="C38" i="18" s="1"/>
  <c r="C26" i="18" s="1"/>
  <c r="C143" i="18"/>
  <c r="C113" i="14" s="1"/>
  <c r="G109" i="14"/>
  <c r="C68" i="18"/>
  <c r="C126" i="18" s="1"/>
  <c r="C112" i="14" s="1"/>
  <c r="H69" i="18"/>
  <c r="G113" i="14"/>
  <c r="D47" i="18"/>
  <c r="G53" i="18"/>
  <c r="G116" i="18"/>
  <c r="AA20" i="20"/>
  <c r="G11" i="3"/>
  <c r="AF64" i="20"/>
  <c r="AF56" i="20"/>
  <c r="AF54" i="20"/>
  <c r="H74" i="14"/>
  <c r="G74" i="14"/>
  <c r="H58" i="14"/>
  <c r="G58" i="14"/>
  <c r="E10" i="3"/>
  <c r="AA63" i="20"/>
  <c r="AE63" i="20" s="1"/>
  <c r="AC63" i="20"/>
  <c r="G49" i="18"/>
  <c r="H49" i="18"/>
  <c r="H116" i="18"/>
  <c r="G75" i="14"/>
  <c r="H76" i="14"/>
  <c r="C57" i="14"/>
  <c r="C126" i="2"/>
  <c r="G49" i="14"/>
  <c r="H45" i="14"/>
  <c r="G63" i="18"/>
  <c r="H63" i="18"/>
  <c r="E159" i="14"/>
  <c r="M49" i="10"/>
  <c r="F68" i="18"/>
  <c r="F126" i="18" s="1"/>
  <c r="AF68" i="20"/>
  <c r="H21" i="18"/>
  <c r="Y72" i="20"/>
  <c r="E128" i="14" s="1"/>
  <c r="G104" i="14"/>
  <c r="F165" i="14"/>
  <c r="G165" i="14" s="1"/>
  <c r="G123" i="14"/>
  <c r="G40" i="14"/>
  <c r="H34" i="18"/>
  <c r="E125" i="14"/>
  <c r="G125" i="14" s="1"/>
  <c r="P72" i="20"/>
  <c r="H133" i="2"/>
  <c r="G133" i="2"/>
  <c r="H78" i="14"/>
  <c r="G21" i="18"/>
  <c r="N24" i="10"/>
  <c r="H57" i="14"/>
  <c r="H63" i="14"/>
  <c r="H42" i="14"/>
  <c r="AD20" i="20"/>
  <c r="F7" i="3"/>
  <c r="AB32" i="20"/>
  <c r="D57" i="2"/>
  <c r="D35" i="2" s="1"/>
  <c r="D37" i="14" s="1"/>
  <c r="F73" i="14"/>
  <c r="G73" i="14" s="1"/>
  <c r="H138" i="2"/>
  <c r="H38" i="14"/>
  <c r="AF46" i="20"/>
  <c r="H36" i="19"/>
  <c r="G111" i="18"/>
  <c r="N15" i="10"/>
  <c r="G103" i="14"/>
  <c r="AF62" i="20"/>
  <c r="G38" i="14"/>
  <c r="H106" i="14"/>
  <c r="G88" i="14"/>
  <c r="C73" i="14"/>
  <c r="C80" i="14" s="1"/>
  <c r="G8" i="3"/>
  <c r="G56" i="14"/>
  <c r="G48" i="14"/>
  <c r="H113" i="14"/>
  <c r="H39" i="14"/>
  <c r="H101" i="14"/>
  <c r="H105" i="14"/>
  <c r="G135" i="2"/>
  <c r="H132" i="2"/>
  <c r="E80" i="14"/>
  <c r="G93" i="18"/>
  <c r="H53" i="18"/>
  <c r="G39" i="18"/>
  <c r="G51" i="18"/>
  <c r="D69" i="18"/>
  <c r="D116" i="18"/>
  <c r="D111" i="18"/>
  <c r="AF60" i="20"/>
  <c r="L15" i="10"/>
  <c r="E8" i="2"/>
  <c r="H8" i="2" s="1"/>
  <c r="F167" i="14"/>
  <c r="G167" i="14" s="1"/>
  <c r="L26" i="10"/>
  <c r="AD6" i="20"/>
  <c r="AA6" i="20"/>
  <c r="X9" i="20"/>
  <c r="H45" i="18"/>
  <c r="E44" i="18"/>
  <c r="G44" i="18" s="1"/>
  <c r="D18" i="11"/>
  <c r="F18" i="11" s="1"/>
  <c r="D17" i="11"/>
  <c r="F17" i="11" s="1"/>
  <c r="E47" i="18"/>
  <c r="H41" i="14"/>
  <c r="G41" i="14"/>
  <c r="G53" i="14"/>
  <c r="H53" i="14"/>
  <c r="H163" i="14"/>
  <c r="H90" i="14"/>
  <c r="G90" i="14"/>
  <c r="H161" i="14"/>
  <c r="G161" i="14"/>
  <c r="G97" i="14"/>
  <c r="H97" i="14"/>
  <c r="AF58" i="20"/>
  <c r="F24" i="19"/>
  <c r="G33" i="19"/>
  <c r="C69" i="14"/>
  <c r="N25" i="10"/>
  <c r="E166" i="14"/>
  <c r="O47" i="10"/>
  <c r="L47" i="10"/>
  <c r="H59" i="14"/>
  <c r="G59" i="14"/>
  <c r="F159" i="14"/>
  <c r="G160" i="14"/>
  <c r="H103" i="14"/>
  <c r="H98" i="14"/>
  <c r="G98" i="14"/>
  <c r="G46" i="14"/>
  <c r="H46" i="14"/>
  <c r="G55" i="14"/>
  <c r="H55" i="14"/>
  <c r="H39" i="18"/>
  <c r="H51" i="18"/>
  <c r="G105" i="14"/>
  <c r="H65" i="14"/>
  <c r="G65" i="14"/>
  <c r="H60" i="14"/>
  <c r="G60" i="14"/>
  <c r="H156" i="14"/>
  <c r="E154" i="14"/>
  <c r="G156" i="14"/>
  <c r="H157" i="14"/>
  <c r="G157" i="14"/>
  <c r="F154" i="14"/>
  <c r="E80" i="2"/>
  <c r="H80" i="2" s="1"/>
  <c r="G83" i="2"/>
  <c r="X72" i="20"/>
  <c r="E127" i="14"/>
  <c r="G127" i="14" s="1"/>
  <c r="E88" i="2"/>
  <c r="E47" i="14" s="1"/>
  <c r="G19" i="19"/>
  <c r="H19" i="19"/>
  <c r="F92" i="14"/>
  <c r="G45" i="18"/>
  <c r="C104" i="14"/>
  <c r="C49" i="19"/>
  <c r="C107" i="14" s="1"/>
  <c r="E150" i="14"/>
  <c r="H151" i="14"/>
  <c r="F150" i="14"/>
  <c r="G152" i="14"/>
  <c r="F9" i="3"/>
  <c r="AD57" i="20"/>
  <c r="AA57" i="20"/>
  <c r="AE57" i="20" s="1"/>
  <c r="Z72" i="20"/>
  <c r="G145" i="14"/>
  <c r="C148" i="14"/>
  <c r="H145" i="14"/>
  <c r="E68" i="18"/>
  <c r="G69" i="18"/>
  <c r="F10" i="3"/>
  <c r="AD63" i="20"/>
  <c r="AB63" i="20"/>
  <c r="H60" i="2"/>
  <c r="F57" i="2"/>
  <c r="G40" i="18"/>
  <c r="H40" i="18"/>
  <c r="G50" i="18"/>
  <c r="F47" i="18"/>
  <c r="I19" i="10"/>
  <c r="N22" i="10"/>
  <c r="D40" i="18"/>
  <c r="D97" i="14"/>
  <c r="D43" i="18"/>
  <c r="D103" i="14"/>
  <c r="G39" i="14"/>
  <c r="D88" i="2"/>
  <c r="D47" i="14" s="1"/>
  <c r="D21" i="18"/>
  <c r="D19" i="18" s="1"/>
  <c r="D9" i="18" s="1"/>
  <c r="D55" i="18"/>
  <c r="H48" i="14"/>
  <c r="H34" i="14"/>
  <c r="G79" i="14"/>
  <c r="H89" i="14"/>
  <c r="C159" i="14"/>
  <c r="C164" i="14" s="1"/>
  <c r="AF42" i="20"/>
  <c r="AF34" i="20"/>
  <c r="AF33" i="20"/>
  <c r="H9" i="3"/>
  <c r="G55" i="18"/>
  <c r="H55" i="18"/>
  <c r="G19" i="18"/>
  <c r="H19" i="18"/>
  <c r="G9" i="18"/>
  <c r="H167" i="14"/>
  <c r="N26" i="10"/>
  <c r="N11" i="10"/>
  <c r="J49" i="10"/>
  <c r="E14" i="11"/>
  <c r="G142" i="14"/>
  <c r="H79" i="14"/>
  <c r="G138" i="2"/>
  <c r="F145" i="2"/>
  <c r="F47" i="14"/>
  <c r="G45" i="14"/>
  <c r="F44" i="14"/>
  <c r="F126" i="2"/>
  <c r="C37" i="14"/>
  <c r="C104" i="2"/>
  <c r="C127" i="2"/>
  <c r="F122" i="14"/>
  <c r="F35" i="14"/>
  <c r="H8" i="3" l="1"/>
  <c r="AD9" i="20"/>
  <c r="D7" i="3"/>
  <c r="E121" i="14"/>
  <c r="E119" i="14"/>
  <c r="E118" i="14"/>
  <c r="D10" i="3"/>
  <c r="D9" i="3"/>
  <c r="D8" i="3"/>
  <c r="E120" i="14"/>
  <c r="G148" i="14"/>
  <c r="G14" i="11"/>
  <c r="AF45" i="20"/>
  <c r="H73" i="14"/>
  <c r="H125" i="14"/>
  <c r="E6" i="3"/>
  <c r="AF57" i="20"/>
  <c r="G16" i="2"/>
  <c r="AC72" i="20"/>
  <c r="G10" i="3"/>
  <c r="H10" i="3"/>
  <c r="H47" i="14"/>
  <c r="F80" i="14"/>
  <c r="G80" i="14" s="1"/>
  <c r="G88" i="2"/>
  <c r="C61" i="18"/>
  <c r="C111" i="14" s="1"/>
  <c r="C115" i="14" s="1"/>
  <c r="C141" i="14" s="1"/>
  <c r="D145" i="2"/>
  <c r="AA9" i="20"/>
  <c r="H165" i="14"/>
  <c r="G80" i="2"/>
  <c r="H88" i="2"/>
  <c r="D44" i="14"/>
  <c r="D69" i="14" s="1"/>
  <c r="F6" i="3"/>
  <c r="G6" i="3" s="1"/>
  <c r="D68" i="18"/>
  <c r="D126" i="18" s="1"/>
  <c r="D112" i="14" s="1"/>
  <c r="E124" i="14"/>
  <c r="AF63" i="20"/>
  <c r="F118" i="14"/>
  <c r="G7" i="3"/>
  <c r="D118" i="14"/>
  <c r="H7" i="3"/>
  <c r="D35" i="14"/>
  <c r="D36" i="14" s="1"/>
  <c r="AD72" i="20"/>
  <c r="H44" i="18"/>
  <c r="E126" i="18"/>
  <c r="E112" i="14" s="1"/>
  <c r="H68" i="18"/>
  <c r="E35" i="14"/>
  <c r="E36" i="14" s="1"/>
  <c r="E34" i="2"/>
  <c r="G8" i="2"/>
  <c r="G47" i="14"/>
  <c r="D104" i="2"/>
  <c r="D118" i="2" s="1"/>
  <c r="D124" i="2" s="1"/>
  <c r="L19" i="10"/>
  <c r="N19" i="10"/>
  <c r="G150" i="14"/>
  <c r="H150" i="14"/>
  <c r="E126" i="2"/>
  <c r="G126" i="2" s="1"/>
  <c r="E44" i="14"/>
  <c r="E69" i="14" s="1"/>
  <c r="G68" i="18"/>
  <c r="H166" i="14"/>
  <c r="G166" i="14"/>
  <c r="F49" i="19"/>
  <c r="G24" i="19"/>
  <c r="F95" i="14"/>
  <c r="H24" i="19"/>
  <c r="E38" i="18"/>
  <c r="E26" i="18" s="1"/>
  <c r="E61" i="18" s="1"/>
  <c r="D95" i="14"/>
  <c r="D107" i="14"/>
  <c r="G47" i="18"/>
  <c r="F38" i="18"/>
  <c r="H47" i="18"/>
  <c r="F35" i="2"/>
  <c r="H57" i="2"/>
  <c r="G57" i="2"/>
  <c r="F121" i="14"/>
  <c r="D14" i="11"/>
  <c r="F14" i="11" s="1"/>
  <c r="C133" i="14"/>
  <c r="G133" i="14" s="1"/>
  <c r="H148" i="14"/>
  <c r="H154" i="14"/>
  <c r="G154" i="14"/>
  <c r="F112" i="14"/>
  <c r="F128" i="14"/>
  <c r="AB72" i="20"/>
  <c r="H159" i="14"/>
  <c r="G159" i="14"/>
  <c r="D38" i="18"/>
  <c r="D26" i="18" s="1"/>
  <c r="D61" i="18" s="1"/>
  <c r="F120" i="14"/>
  <c r="G9" i="3"/>
  <c r="D120" i="14"/>
  <c r="H145" i="2"/>
  <c r="G145" i="2"/>
  <c r="H122" i="14"/>
  <c r="C130" i="2"/>
  <c r="C136" i="2" s="1"/>
  <c r="C51" i="14" s="1"/>
  <c r="C118" i="2"/>
  <c r="C124" i="2" s="1"/>
  <c r="C123" i="2" s="1"/>
  <c r="C22" i="19" s="1"/>
  <c r="G44" i="14"/>
  <c r="F69" i="14"/>
  <c r="D122" i="14"/>
  <c r="C70" i="14"/>
  <c r="C50" i="14"/>
  <c r="C61" i="14" s="1"/>
  <c r="F36" i="14"/>
  <c r="E117" i="14" l="1"/>
  <c r="H119" i="14"/>
  <c r="G119" i="14"/>
  <c r="D119" i="14"/>
  <c r="D117" i="14" s="1"/>
  <c r="D128" i="14" s="1"/>
  <c r="D124" i="14" s="1"/>
  <c r="D121" i="14"/>
  <c r="AF72" i="20"/>
  <c r="C144" i="18"/>
  <c r="C147" i="18" s="1"/>
  <c r="H126" i="2"/>
  <c r="H80" i="14"/>
  <c r="H6" i="3"/>
  <c r="G35" i="14"/>
  <c r="D130" i="2"/>
  <c r="D136" i="2" s="1"/>
  <c r="D51" i="14" s="1"/>
  <c r="E8" i="11" s="1"/>
  <c r="H35" i="14"/>
  <c r="F117" i="14"/>
  <c r="D6" i="3"/>
  <c r="H44" i="14"/>
  <c r="G118" i="14"/>
  <c r="H118" i="14"/>
  <c r="D144" i="18"/>
  <c r="D147" i="18" s="1"/>
  <c r="D111" i="14"/>
  <c r="D115" i="14" s="1"/>
  <c r="D141" i="14" s="1"/>
  <c r="G112" i="14"/>
  <c r="H112" i="14"/>
  <c r="H121" i="14"/>
  <c r="G121" i="14"/>
  <c r="G126" i="18"/>
  <c r="H38" i="18"/>
  <c r="F26" i="18"/>
  <c r="G38" i="18"/>
  <c r="E104" i="2"/>
  <c r="G34" i="2"/>
  <c r="H34" i="2"/>
  <c r="G120" i="14"/>
  <c r="H120" i="14"/>
  <c r="H95" i="14"/>
  <c r="G95" i="14"/>
  <c r="H164" i="14"/>
  <c r="G164" i="14"/>
  <c r="F124" i="14"/>
  <c r="H128" i="14"/>
  <c r="G128" i="14"/>
  <c r="G49" i="19"/>
  <c r="F107" i="14"/>
  <c r="H107" i="14" s="1"/>
  <c r="H49" i="19"/>
  <c r="E50" i="14"/>
  <c r="E61" i="14" s="1"/>
  <c r="H126" i="18"/>
  <c r="F37" i="14"/>
  <c r="F50" i="14" s="1"/>
  <c r="F104" i="2"/>
  <c r="G35" i="2"/>
  <c r="H35" i="2"/>
  <c r="N23" i="10"/>
  <c r="L23" i="10"/>
  <c r="H69" i="14"/>
  <c r="G69" i="14"/>
  <c r="D8" i="11"/>
  <c r="F8" i="11" s="1"/>
  <c r="D13" i="11"/>
  <c r="F13" i="11" s="1"/>
  <c r="C52" i="14"/>
  <c r="C66" i="14"/>
  <c r="C67" i="14"/>
  <c r="E111" i="14"/>
  <c r="E144" i="18"/>
  <c r="G36" i="14"/>
  <c r="G7" i="11"/>
  <c r="H36" i="14"/>
  <c r="D50" i="14"/>
  <c r="D61" i="14" s="1"/>
  <c r="E7" i="11"/>
  <c r="G117" i="14" l="1"/>
  <c r="H117" i="14"/>
  <c r="E13" i="11"/>
  <c r="D52" i="14"/>
  <c r="G18" i="11"/>
  <c r="E18" i="11"/>
  <c r="E17" i="11"/>
  <c r="G104" i="2"/>
  <c r="G118" i="2" s="1"/>
  <c r="G119" i="2" s="1"/>
  <c r="E130" i="2"/>
  <c r="E136" i="2" s="1"/>
  <c r="E51" i="14" s="1"/>
  <c r="E52" i="14" s="1"/>
  <c r="E118" i="2"/>
  <c r="H37" i="14"/>
  <c r="G37" i="14"/>
  <c r="G17" i="11"/>
  <c r="G124" i="14"/>
  <c r="H124" i="14"/>
  <c r="H104" i="2"/>
  <c r="F130" i="2"/>
  <c r="F118" i="2"/>
  <c r="F123" i="2" s="1"/>
  <c r="F61" i="18"/>
  <c r="H26" i="18"/>
  <c r="G26" i="18"/>
  <c r="F62" i="14"/>
  <c r="F127" i="2"/>
  <c r="E115" i="14"/>
  <c r="D11" i="11"/>
  <c r="F11" i="11" s="1"/>
  <c r="C131" i="14"/>
  <c r="D10" i="11"/>
  <c r="F10" i="11" s="1"/>
  <c r="C130" i="14"/>
  <c r="D9" i="11"/>
  <c r="F9" i="11" s="1"/>
  <c r="C132" i="14"/>
  <c r="C93" i="14"/>
  <c r="E147" i="18"/>
  <c r="F61" i="14"/>
  <c r="H50" i="14"/>
  <c r="G50" i="14"/>
  <c r="F144" i="18" l="1"/>
  <c r="F111" i="14"/>
  <c r="H61" i="18"/>
  <c r="G61" i="18"/>
  <c r="F124" i="2"/>
  <c r="F9" i="19" s="1"/>
  <c r="D9" i="19" s="1"/>
  <c r="H118" i="2"/>
  <c r="E124" i="2"/>
  <c r="H130" i="2"/>
  <c r="F136" i="2"/>
  <c r="G130" i="2"/>
  <c r="F70" i="14"/>
  <c r="D62" i="14"/>
  <c r="D127" i="2"/>
  <c r="D123" i="2"/>
  <c r="G61" i="14"/>
  <c r="H61" i="14"/>
  <c r="F66" i="14"/>
  <c r="E9" i="19" l="1"/>
  <c r="H136" i="2"/>
  <c r="F51" i="14"/>
  <c r="G13" i="11"/>
  <c r="G136" i="2"/>
  <c r="E127" i="2"/>
  <c r="E62" i="14"/>
  <c r="H119" i="2"/>
  <c r="F115" i="14"/>
  <c r="G111" i="14"/>
  <c r="H111" i="14"/>
  <c r="E123" i="2"/>
  <c r="G124" i="2"/>
  <c r="F22" i="19"/>
  <c r="D22" i="19" s="1"/>
  <c r="H124" i="2"/>
  <c r="F147" i="18"/>
  <c r="G144" i="18"/>
  <c r="H144" i="18"/>
  <c r="D70" i="14"/>
  <c r="D66" i="14"/>
  <c r="F67" i="14"/>
  <c r="G9" i="11"/>
  <c r="G11" i="11"/>
  <c r="G10" i="11"/>
  <c r="H127" i="2" l="1"/>
  <c r="G127" i="2"/>
  <c r="G9" i="19"/>
  <c r="F85" i="14"/>
  <c r="H9" i="19"/>
  <c r="F8" i="19"/>
  <c r="D8" i="19" s="1"/>
  <c r="E66" i="14"/>
  <c r="E70" i="14"/>
  <c r="G62" i="14"/>
  <c r="H62" i="14"/>
  <c r="F149" i="18"/>
  <c r="H147" i="18"/>
  <c r="G147" i="18"/>
  <c r="H115" i="14"/>
  <c r="G115" i="14"/>
  <c r="E85" i="14"/>
  <c r="E84" i="14" s="1"/>
  <c r="E8" i="19"/>
  <c r="G8" i="11"/>
  <c r="F52" i="14"/>
  <c r="H51" i="14"/>
  <c r="G51" i="14"/>
  <c r="H123" i="2"/>
  <c r="G123" i="2"/>
  <c r="E22" i="19"/>
  <c r="G22" i="19" s="1"/>
  <c r="E10" i="11"/>
  <c r="E11" i="11"/>
  <c r="E9" i="11"/>
  <c r="D131" i="14"/>
  <c r="G131" i="14" s="1"/>
  <c r="D130" i="14"/>
  <c r="G130" i="14" s="1"/>
  <c r="D67" i="14"/>
  <c r="D132" i="14"/>
  <c r="G132" i="14" s="1"/>
  <c r="H70" i="14" l="1"/>
  <c r="G70" i="14"/>
  <c r="H85" i="14"/>
  <c r="F84" i="14"/>
  <c r="G85" i="14"/>
  <c r="H141" i="14"/>
  <c r="G141" i="14"/>
  <c r="E67" i="14"/>
  <c r="E93" i="14"/>
  <c r="H66" i="14"/>
  <c r="G66" i="14"/>
  <c r="D85" i="14"/>
  <c r="D84" i="14" s="1"/>
  <c r="D93" i="14" s="1"/>
  <c r="H22" i="19"/>
  <c r="G52" i="14"/>
  <c r="H52" i="14"/>
  <c r="G8" i="19"/>
  <c r="H8" i="19"/>
  <c r="G84" i="14" l="1"/>
  <c r="H84" i="14"/>
  <c r="F93" i="14"/>
  <c r="G67" i="14"/>
  <c r="H67" i="14"/>
  <c r="G93" i="14" l="1"/>
  <c r="H93" i="14"/>
</calcChain>
</file>

<file path=xl/sharedStrings.xml><?xml version="1.0" encoding="utf-8"?>
<sst xmlns="http://schemas.openxmlformats.org/spreadsheetml/2006/main" count="1119" uniqueCount="733">
  <si>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</si>
  <si>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</si>
  <si>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</si>
  <si>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</si>
  <si>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</si>
  <si>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</si>
  <si>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</si>
  <si>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</si>
  <si>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</si>
  <si>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</si>
  <si>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</si>
  <si>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</si>
  <si>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</si>
  <si>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</si>
  <si>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</si>
  <si>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</si>
  <si>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</si>
  <si>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</si>
  <si>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</si>
  <si>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</si>
  <si>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</si>
  <si>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</si>
  <si>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</si>
  <si>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</si>
  <si>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</si>
  <si>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</si>
  <si>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</si>
  <si>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</si>
  <si>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</si>
  <si>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</si>
  <si>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</si>
  <si>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</si>
  <si>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</si>
  <si>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</si>
  <si>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</si>
  <si>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</si>
  <si>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</si>
  <si>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</si>
  <si>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</si>
  <si>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</si>
  <si>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</si>
  <si>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</si>
  <si>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</si>
  <si>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</si>
  <si>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</si>
  <si>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</si>
  <si>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</si>
  <si>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</si>
  <si>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</si>
  <si>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</si>
  <si>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</si>
  <si>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</si>
  <si>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</si>
  <si>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</si>
  <si>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</si>
  <si>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</si>
  <si>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</si>
  <si>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</si>
  <si>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</si>
  <si>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</si>
  <si>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</si>
  <si>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</si>
  <si>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</si>
  <si>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</si>
  <si>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</si>
  <si>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</si>
  <si>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</si>
  <si>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</si>
  <si>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</si>
  <si>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</si>
  <si>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</si>
  <si>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</si>
  <si>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</si>
  <si>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</si>
  <si>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</si>
  <si>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</si>
  <si>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</si>
  <si>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</si>
  <si>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</si>
  <si>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</si>
  <si>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</si>
  <si>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</si>
  <si>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</si>
  <si>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</si>
  <si>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</si>
  <si>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</si>
  <si>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</si>
  <si>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</si>
  <si>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</si>
  <si>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</si>
  <si>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</si>
  <si>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</si>
  <si>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</si>
  <si>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</si>
  <si>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</si>
  <si>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</si>
  <si>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</si>
  <si>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</si>
  <si>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</si>
  <si>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</si>
  <si>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</si>
  <si>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</si>
  <si>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</si>
  <si>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</si>
  <si>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</si>
  <si>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</si>
  <si>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</si>
  <si>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</si>
  <si>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</si>
  <si>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</si>
  <si>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</si>
  <si>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</si>
  <si>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</si>
  <si>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</si>
  <si>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</si>
  <si>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Код за ЄДРПОУ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</si>
  <si>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</si>
  <si>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</si>
  <si>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</si>
  <si>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</si>
  <si>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</si>
  <si>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</si>
  <si>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</si>
  <si>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</si>
  <si>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</si>
  <si>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</si>
  <si>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</si>
  <si>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</si>
  <si>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</si>
  <si>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</si>
  <si>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</si>
  <si>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</si>
  <si>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</si>
  <si>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</si>
  <si>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</si>
  <si>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</si>
  <si>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</si>
  <si>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</si>
  <si>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</si>
  <si>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</si>
  <si>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</si>
  <si>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</si>
  <si>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</si>
  <si>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</si>
  <si>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</si>
  <si>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</si>
  <si>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</si>
  <si>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</si>
  <si>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</si>
  <si>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</si>
  <si>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</si>
  <si>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</si>
  <si>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</si>
  <si>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</si>
  <si>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</si>
  <si>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</si>
  <si>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</si>
  <si>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</si>
  <si>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</si>
  <si>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</si>
  <si>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</si>
  <si>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</si>
  <si>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</si>
  <si>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__________________________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</si>
  <si>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</si>
  <si>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</si>
  <si>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</si>
  <si>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</si>
  <si>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</si>
  <si>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</si>
  <si>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</si>
  <si>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</si>
  <si>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</si>
  <si>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</si>
  <si>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</si>
  <si>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</si>
  <si>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</si>
  <si>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</si>
  <si>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 xml:space="preserve">                  (підпис)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</si>
  <si>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</si>
  <si>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</si>
  <si>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</si>
  <si>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</si>
  <si>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</si>
  <si>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</si>
  <si>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</si>
  <si>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</si>
  <si>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</si>
  <si>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</si>
  <si>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</si>
  <si>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</si>
  <si>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</si>
  <si>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</si>
  <si>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</si>
  <si>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</si>
  <si>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</si>
  <si>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</si>
  <si>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</si>
  <si>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</si>
  <si>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</si>
  <si>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</si>
  <si>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</si>
  <si>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</si>
  <si>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</si>
  <si>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</si>
  <si>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</si>
  <si>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</si>
  <si>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</si>
  <si>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</si>
  <si>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</si>
  <si>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</si>
  <si>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</si>
  <si>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</si>
  <si>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</si>
  <si>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</si>
  <si>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</si>
  <si>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</si>
  <si>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</si>
  <si>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</si>
  <si>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</si>
  <si>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</si>
  <si>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</si>
  <si>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</si>
  <si>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</si>
  <si>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</si>
  <si>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</si>
  <si>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</si>
  <si>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</si>
  <si>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</si>
  <si>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</si>
  <si>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</si>
  <si>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</si>
  <si>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</si>
  <si>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</si>
  <si>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</si>
  <si>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</si>
  <si>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</si>
  <si>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</si>
  <si>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</si>
  <si>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</si>
  <si>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</si>
  <si>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</si>
  <si>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</si>
  <si>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</si>
  <si>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</si>
  <si>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</si>
  <si>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</si>
  <si>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</si>
  <si>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</si>
  <si>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</si>
  <si>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</si>
  <si>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</si>
  <si>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</si>
  <si>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</si>
  <si>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</si>
  <si>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</si>
  <si>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</si>
  <si>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</si>
  <si>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</si>
  <si>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</si>
  <si>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</si>
  <si>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</si>
  <si>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</si>
  <si>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</si>
  <si>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</si>
  <si>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</si>
  <si>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</si>
  <si>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</si>
  <si>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</si>
  <si>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</si>
  <si>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</si>
  <si>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</si>
  <si>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</si>
  <si>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</si>
  <si>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</si>
  <si>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</si>
  <si>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</si>
  <si>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</si>
  <si>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</si>
  <si>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</si>
  <si>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</si>
  <si>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</si>
  <si>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</si>
  <si>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</si>
  <si>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</si>
  <si>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</si>
  <si>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</si>
  <si>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</si>
  <si>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</si>
  <si>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</si>
  <si>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</si>
  <si>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</si>
  <si>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</si>
  <si>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</si>
  <si>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</si>
  <si>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</si>
  <si>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</si>
  <si>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</si>
  <si>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</si>
  <si>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</si>
  <si>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</si>
  <si>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</si>
  <si>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</si>
  <si>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</si>
  <si>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</si>
  <si>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</si>
  <si>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</si>
  <si>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</si>
  <si>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</si>
  <si>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</si>
  <si>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</si>
  <si>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</si>
  <si>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</si>
  <si>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</si>
  <si>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</si>
  <si>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</si>
  <si>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</si>
  <si>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</si>
  <si>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</si>
  <si>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</si>
  <si>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</si>
  <si>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</si>
  <si>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</si>
  <si>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</si>
  <si>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</si>
  <si>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</si>
  <si>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</si>
  <si>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</si>
  <si>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</si>
  <si>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</si>
  <si>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</si>
  <si>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</si>
  <si>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</si>
  <si>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</si>
  <si>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</si>
  <si>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</si>
  <si>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</si>
  <si>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</si>
  <si>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</si>
  <si>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</si>
  <si>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</si>
  <si>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</si>
  <si>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</si>
  <si>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</si>
  <si>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</si>
  <si>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</si>
  <si>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</si>
  <si>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</si>
  <si>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</si>
  <si>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</si>
  <si>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</si>
  <si>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</si>
  <si>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</si>
  <si>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</si>
  <si>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</si>
  <si>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</si>
  <si>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</si>
  <si>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</si>
  <si>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</si>
  <si>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</si>
  <si>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</si>
  <si>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</si>
  <si>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</si>
  <si>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</si>
  <si>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</si>
  <si>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</si>
  <si>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</si>
  <si>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</si>
  <si>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</si>
  <si>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</si>
  <si>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</si>
  <si>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</si>
  <si>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</si>
  <si>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</si>
  <si>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</si>
  <si>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</si>
  <si>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</si>
  <si>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</si>
  <si>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</si>
  <si>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</si>
  <si>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</si>
  <si>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</si>
  <si>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</si>
  <si>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</si>
  <si>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</si>
  <si>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</si>
  <si>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</si>
  <si>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</si>
  <si>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</si>
  <si>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</si>
  <si>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</si>
  <si>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</si>
  <si>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</si>
  <si>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</si>
  <si>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</si>
  <si>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</si>
  <si>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</si>
  <si>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</si>
  <si>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</si>
  <si>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</si>
  <si>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</si>
  <si>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</si>
  <si>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</si>
  <si>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</si>
  <si>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</si>
  <si>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</si>
  <si>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</si>
  <si>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</si>
  <si>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</si>
  <si>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</si>
  <si>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</si>
  <si>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</si>
  <si>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</si>
  <si>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</si>
  <si>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</si>
  <si>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</si>
  <si>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</si>
  <si>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</si>
  <si>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</si>
  <si>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</si>
  <si>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</si>
  <si>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</si>
  <si>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</si>
  <si>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</si>
  <si>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</si>
  <si>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</si>
  <si>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витрати на відрядження</t>
  </si>
  <si>
    <t>інші</t>
  </si>
  <si>
    <t>1018/1</t>
  </si>
  <si>
    <t>1018/2</t>
  </si>
  <si>
    <t>витрати на матеріали</t>
  </si>
  <si>
    <t>обов"язкові платежі та збори</t>
  </si>
  <si>
    <t>1051/1</t>
  </si>
  <si>
    <t>1051/2</t>
  </si>
  <si>
    <t>1073/1</t>
  </si>
  <si>
    <t>1073/2</t>
  </si>
  <si>
    <t>1086/1</t>
  </si>
  <si>
    <t>1086/2</t>
  </si>
  <si>
    <t>1086/3</t>
  </si>
  <si>
    <t>1086/4</t>
  </si>
  <si>
    <t>1086/5</t>
  </si>
  <si>
    <t>1086/6</t>
  </si>
  <si>
    <t>витрати згідно з Колдоговором</t>
  </si>
  <si>
    <t>збір за використання радіочастотного ресурсу</t>
  </si>
  <si>
    <t>військовий збір</t>
  </si>
  <si>
    <t>2119/1</t>
  </si>
  <si>
    <t>2119/2</t>
  </si>
  <si>
    <t>3060/1</t>
  </si>
  <si>
    <t>3060/2</t>
  </si>
  <si>
    <t>3150/1</t>
  </si>
  <si>
    <t>3150/2</t>
  </si>
  <si>
    <t>3170/1</t>
  </si>
  <si>
    <t>Інше обладнання необхідне для нормального функціонування підприємства, у тому числі згідно норм охорони праці</t>
  </si>
  <si>
    <t>Програмне забезпечення</t>
  </si>
  <si>
    <t>Придбання інших нематеріальних активів</t>
  </si>
  <si>
    <t>Інші витрати (розшифрувати) поворотна фінансова допомога</t>
  </si>
  <si>
    <t>Капітальне будівництво</t>
  </si>
  <si>
    <t>Технічна та спеціалізована література</t>
  </si>
  <si>
    <t>1018/3</t>
  </si>
  <si>
    <t>збір користування радіочастотним ресурсом</t>
  </si>
  <si>
    <t>транзитні платежі</t>
  </si>
  <si>
    <t>3060/3</t>
  </si>
  <si>
    <t>послуги розрахункового центру (10% від обсягу)</t>
  </si>
  <si>
    <t>52.22</t>
  </si>
  <si>
    <t>Одеська</t>
  </si>
  <si>
    <t>Міністерство інфраструктури України</t>
  </si>
  <si>
    <t>Морський транспорт</t>
  </si>
  <si>
    <t>Допоміжне обслуговування водного транспорту</t>
  </si>
  <si>
    <t>Державна власність</t>
  </si>
  <si>
    <t>65114 м. Одеса вул. Люстдорфська дорога 140а</t>
  </si>
  <si>
    <t>(048)774 42 47</t>
  </si>
  <si>
    <t>Сударев В.О.</t>
  </si>
  <si>
    <t>казенного підприємства "Морська пошуково-рятувальна служба"</t>
  </si>
  <si>
    <t>перерахування профспілки</t>
  </si>
  <si>
    <t>3170/2</t>
  </si>
  <si>
    <t>Фонд розвитку виробництва</t>
  </si>
  <si>
    <t>Фонд матеріального заохочення</t>
  </si>
  <si>
    <t>2050/1</t>
  </si>
  <si>
    <t>2050/2</t>
  </si>
  <si>
    <t>Витрати на охорону праці</t>
  </si>
  <si>
    <t>1018/3/1</t>
  </si>
  <si>
    <t>1018/3/2</t>
  </si>
  <si>
    <t>Витрати на зв'язок</t>
  </si>
  <si>
    <t>1018/3/3</t>
  </si>
  <si>
    <t>Витрати на навчання виробничого персоналу</t>
  </si>
  <si>
    <t>1018/3/4</t>
  </si>
  <si>
    <t>1018/3/5</t>
  </si>
  <si>
    <t>1018/3/6</t>
  </si>
  <si>
    <t>Послуги, що надаються суднам у місцях стоянки</t>
  </si>
  <si>
    <t>1018/3/7</t>
  </si>
  <si>
    <t>Витрати на охорону навколишнього середовища</t>
  </si>
  <si>
    <t>1018/3/8</t>
  </si>
  <si>
    <t>1018/3/9</t>
  </si>
  <si>
    <t xml:space="preserve">Організаційно-технічні послуги </t>
  </si>
  <si>
    <t>1018/3/10</t>
  </si>
  <si>
    <t>Послуги банку</t>
  </si>
  <si>
    <t>1051/4/1</t>
  </si>
  <si>
    <t>1051/4/2</t>
  </si>
  <si>
    <t>1051/4/3</t>
  </si>
  <si>
    <t>Рекламні послуги, висвітлення діяльності підприємства, розміщення інформації в ЗМІ</t>
  </si>
  <si>
    <t>1051/4/4</t>
  </si>
  <si>
    <t>Витрати на організацію і проведення 14-й Конференції з пошуку та рятуванні на Чорному морі</t>
  </si>
  <si>
    <t>1051/4/5</t>
  </si>
  <si>
    <t>Підписка на періодичні видання</t>
  </si>
  <si>
    <t>1051/4/6</t>
  </si>
  <si>
    <t>Послуги державних реестраторів та ТПП</t>
  </si>
  <si>
    <t>1051/4/7</t>
  </si>
  <si>
    <t>невідшкодований ПДВ</t>
  </si>
  <si>
    <t>-</t>
  </si>
  <si>
    <t>Транзитні надходження</t>
  </si>
  <si>
    <t>% отримані на залишок коштів на рахунку</t>
  </si>
  <si>
    <t>3060/1/1</t>
  </si>
  <si>
    <t>3060/1/2</t>
  </si>
  <si>
    <t>Суднові запаси (запасні частини та матеріали для ПРК відповідно до вимог Регістру)</t>
  </si>
  <si>
    <t>податок на землю</t>
  </si>
  <si>
    <t>3150/5</t>
  </si>
  <si>
    <t xml:space="preserve">інші доходи (розшифрувати): </t>
  </si>
  <si>
    <t>оренда</t>
  </si>
  <si>
    <t>витрати на уплату авансів</t>
  </si>
  <si>
    <t>Витрати щодо послуг ДІКМС</t>
  </si>
  <si>
    <t>1018/3/11</t>
  </si>
  <si>
    <t>1018/3/12</t>
  </si>
  <si>
    <t xml:space="preserve">Компенсація витрат балансоутримувача на утримання офісного будинку у м. Одеса </t>
  </si>
  <si>
    <t>доход від безоплатно отриманих оборотних активів, у тому числі</t>
  </si>
  <si>
    <t>дохід від цільового фінансування заходів з функціонування підприємства</t>
  </si>
  <si>
    <t>1073/1/1</t>
  </si>
  <si>
    <t>1073/1/2</t>
  </si>
  <si>
    <t>використання основних засобів стороних організаційта відшкодування витрат на їх утримання</t>
  </si>
  <si>
    <t>55.22. Допоміжне обслуговування</t>
  </si>
  <si>
    <t>Послуги зі зберігання палива</t>
  </si>
  <si>
    <t>1018/3/13</t>
  </si>
  <si>
    <t>Інші джерела (кошти цільового фінансування на розвиток системи пошуку та рятування)</t>
  </si>
  <si>
    <t>I</t>
  </si>
  <si>
    <t>II</t>
  </si>
  <si>
    <t>Придбання (виготовлення) основних засобів</t>
  </si>
  <si>
    <t>Інше обладнання необхідне для нормального функціонування підприємства, у тому числі згідно охорони праці</t>
  </si>
  <si>
    <t>III</t>
  </si>
  <si>
    <t>Придбання (виготовлення) інших необоротних матеріальних активів</t>
  </si>
  <si>
    <t>IV</t>
  </si>
  <si>
    <t>Придбання (створення) нематеріальних активів</t>
  </si>
  <si>
    <t>V</t>
  </si>
  <si>
    <t>Модернізація, модифікація (добудова, дообладнання, реконструкція) основних засобів</t>
  </si>
  <si>
    <t>аварійно-рятувальне майно  та судновий інвентар</t>
  </si>
  <si>
    <t>KIA Pregio</t>
  </si>
  <si>
    <t>Виробничі цілі</t>
  </si>
  <si>
    <t>інші джерела (кошти цільового фінансування  на розвиток системи пошуку та рятування)</t>
  </si>
  <si>
    <t>3150/4</t>
  </si>
  <si>
    <t>3150/6</t>
  </si>
  <si>
    <t>3150/7</t>
  </si>
  <si>
    <t>3270/1</t>
  </si>
  <si>
    <t>3270/2</t>
  </si>
  <si>
    <t>3270/3</t>
  </si>
  <si>
    <t>3270/4</t>
  </si>
  <si>
    <t>Інші інструменти, прилади, інвентар</t>
  </si>
  <si>
    <t>КП "Морська пошуково-рятувальна служба"</t>
  </si>
  <si>
    <t>1051/4/8</t>
  </si>
  <si>
    <t>1051/4/9</t>
  </si>
  <si>
    <t>1051/4/10</t>
  </si>
  <si>
    <t>Витрати на консультування щодо бухобліку</t>
  </si>
  <si>
    <t>Отримання науково-дослідницької роботи щодо окремих питань діяльності підприємства</t>
  </si>
  <si>
    <t>Отримання дозволів</t>
  </si>
  <si>
    <t>1086/7</t>
  </si>
  <si>
    <t>пільгові пенсії</t>
  </si>
  <si>
    <t>інші податки та збори (податок на нерухомість)</t>
  </si>
  <si>
    <t>Розрахунки за пальне</t>
  </si>
  <si>
    <t>Єдиний соціальний внесок</t>
  </si>
  <si>
    <t>податок на нерухомість</t>
  </si>
  <si>
    <t>послуги з обслуговування аварійного супутникового обладнання</t>
  </si>
  <si>
    <t>Поставка, монтаж та налаштування обладнання згідно проектної документації на об'єкт: Технічне переоснащення Експлуатаційного центру управління Берегового радіоцентру морського району А1, А2 ГМЗЛБ м Бердянськ</t>
  </si>
  <si>
    <t xml:space="preserve">Поставка, монтаж та налаштування обладнання згідно проектної документації на об'єкт: Технічне переоснащення Експлуатаційного центру управління Берегового радіоцентру морського району  А1, А2 ГМЗЛБ м.Одеса </t>
  </si>
  <si>
    <t>Роботи з розроблення та оформлення проектної документації "Модернізація плавучої бази рятувальних катерів "ПБРК-02"</t>
  </si>
  <si>
    <t>Інструменти, обладнання, мережеве обладнання</t>
  </si>
  <si>
    <t>Витрати на утримання основних фондів ( м.Бердянськ, вул.Горького. 12; с.Олександрівка)</t>
  </si>
  <si>
    <t>Витрати на утримання основних фондів адміністративного призначення</t>
  </si>
  <si>
    <t>1051/4/11</t>
  </si>
  <si>
    <t>2060/1</t>
  </si>
  <si>
    <t>Інші зобов'язання за платежами</t>
  </si>
  <si>
    <t>Цільове фінансування  (ФСС)</t>
  </si>
  <si>
    <t>Обладнання та інше устаткування для ПРК та р/с Сапфір</t>
  </si>
  <si>
    <t>Розробка проектів землеустрою</t>
  </si>
  <si>
    <t>Рік 2018</t>
  </si>
  <si>
    <t xml:space="preserve">кошти цільового використання на функціонування діяльності </t>
  </si>
  <si>
    <t>кошти цільового використання на розвиток системи покушу та рятування</t>
  </si>
  <si>
    <t>3170/3</t>
  </si>
  <si>
    <t>3170/4</t>
  </si>
  <si>
    <t>Розробка та експертиза проектної документації на об’єкт: Нове будівництво Базової станції «Лазурне» Берегової радіостанції морського району А1 Глобальної морської системи зв’язку під час лиха для забезпечення безпеки, за адресою: вул. Приозерна, смт Лазурне, Скадовського району, Херсонської області</t>
  </si>
  <si>
    <t>Реєстраційні збори, державне мито та аналогічні платежі, що здійснюються у зв'язку з отриманням прав власності на об'єкти основних засобів, отриманих від ДП "МАРС"</t>
  </si>
  <si>
    <t>Розробка та експертиза проектної документації на об’єкт: Технічне переоснащення Базової станції «В.Фонтан» Берегової радіостанції морського району А1, А2 Глобальної морської системи зв’язку під час лиха та для забезпечення безпеки мореплавства м. Одеса за адресою: м. Одеса, пров. Маячний, 5 (мис Великий Фонтан, територія ДУ «Держгідрографія»)</t>
  </si>
  <si>
    <t>Обладнання зв'язку та радіонавігації</t>
  </si>
  <si>
    <t>Серверне та комунікаційне обладнання, засоби обчислювальної техніки</t>
  </si>
  <si>
    <t xml:space="preserve">Аварійно-рятувальне майно </t>
  </si>
  <si>
    <t xml:space="preserve">Інші необоротні матеріальні активи, необхідні для функціонування підприємства, у тому числі згідно норм охорони праці </t>
  </si>
  <si>
    <t xml:space="preserve">Програмне забезпечення </t>
  </si>
  <si>
    <t>2060/2</t>
  </si>
  <si>
    <t>Коригування показника розподілу чистого прибутку за фактичними результатами 2017 року та 1 кварталу 2018 року.</t>
  </si>
  <si>
    <t>Аварійно-рятувальне майно</t>
  </si>
  <si>
    <t>Казенне підприємство</t>
  </si>
  <si>
    <t>Директор</t>
  </si>
  <si>
    <t>В.О. Сударев</t>
  </si>
  <si>
    <t>В. О. Сударев</t>
  </si>
  <si>
    <t xml:space="preserve">пояснення та обґрунтування відхилення від запланованого рівня доходів/витрат                               </t>
  </si>
  <si>
    <t>22% від витрат на оплату праці</t>
  </si>
  <si>
    <t>Послуги СЕС</t>
  </si>
  <si>
    <t>доход від безоплатно отриманих оборотних активів (матеріали безоплатно отримані)</t>
  </si>
  <si>
    <t>Витрати на обслуговування автотранспорту (шиномонтаж, мийка)</t>
  </si>
  <si>
    <t xml:space="preserve">ЄСВ на матеріальні заохочення та загальну суму лікарняних </t>
  </si>
  <si>
    <t xml:space="preserve">Розробка та експертиза проектної документації на об'єкт: Технічне переоснащення Експлуатаційного центру управління Берегового радіоцентру морського району  А1, А2 ГМЗЛБ м.Одеса </t>
  </si>
  <si>
    <t>придбання радіолокаційного та навігаційного обладннання для ММРКПЦ на мб "Сапфір",мб "Вітязь", ПРК -01, ПРК-06</t>
  </si>
  <si>
    <t>Придбання причепів паливозаправників ПТЗ</t>
  </si>
  <si>
    <t xml:space="preserve">Придбання човна з двигуном для ПРК-06 </t>
  </si>
  <si>
    <t>Розробка проекту будівництва плавучих баз для базування пошуково-рятувальних катерів</t>
  </si>
  <si>
    <t>Формений одяг, спецодяг, спецвзуття та знаки розрізнення</t>
  </si>
  <si>
    <t>Витрати на страхування плавзасобів, членів екіпажу, автотранспорту</t>
  </si>
  <si>
    <t>Плата за використання радіочастотного ресурсу, земельний податок, податок на нерухомість</t>
  </si>
  <si>
    <t>10% корабельного збору відповідно до ПКМУ № 158 від 24.02.2016 р., у тому числі</t>
  </si>
  <si>
    <t>Розробка та експертиза проектної документації на об’єкт: Нове будівництво Базової станції «Миколаївка» Берегової радіостанції морського району А1 Глобальної морської системи зв’язку під час лиха та для забезпечення безпеки мореплавства, за адресою: Одеська область,  Білгород-Дністровський район, с. Миколаївка,  вул. Гагаріна, 69/5</t>
  </si>
  <si>
    <t>Розробка та експертиза проектної документації на об’єкт: Нове будівництво Базової станції «Зміїний» Берегової радіостанції морського району А1 Глобальної морської системи зв’язку під час лиха та для забезпечення безпеки мореплавства, за адресою: с. Біле, о. Зміїний, Кілійського району, Одеської області</t>
  </si>
  <si>
    <t>геодезична зйомка на земельній ділянці площею 0,1 га території смт Лазурне</t>
  </si>
  <si>
    <t>Розробка та експертиза проектної документації на об’єкт: Будівництво Базової станції «Бердянськ» Берегової радіостанції морського району А1 ГМЗЛБ м. Бердянськ</t>
  </si>
  <si>
    <t xml:space="preserve">Формений одяг, спецодяг, спецвзуття </t>
  </si>
  <si>
    <t>Обслуговування комп'ютерних програм</t>
  </si>
  <si>
    <t>1086/8</t>
  </si>
  <si>
    <t>витрати, пов'язані з підготовкою до продажі необоротних активів</t>
  </si>
  <si>
    <t>Розрахунки за продукцію, товари, роботи та послуги</t>
  </si>
  <si>
    <t>Розрахунки за продукцію (товари, роботи та послуги), в т.ч.</t>
  </si>
  <si>
    <t>У зв'язку проведенням реорганізації структури підприємства відбувся перерозподіл витрат на мобільний та міський зв'язок між адміністративними та виробничими підрозділами.</t>
  </si>
  <si>
    <t>Послуги отримані в рамках потреби</t>
  </si>
  <si>
    <t>7% від фонду оплати праці.</t>
  </si>
  <si>
    <t xml:space="preserve">22%, 8,41% від ЄСВ на матеріальні заохочення та загальну суму лікарняних </t>
  </si>
  <si>
    <t xml:space="preserve">Графік навчально-тренувальних заходів та чергування скоригований виходячі із фактичного залишку пального </t>
  </si>
  <si>
    <t>2017-2019</t>
  </si>
  <si>
    <t>Проектно-кошторисна документація  "Нове будівництво Базової станції «Лазурне» Берегової радіостанції морського району А1 Глобальної морської системи зв’язку під час лиха для забезпечення безпеки, за адресою: вул. Приозерна, смт Лазурне, Скадовського району, Херсонської області" затверджено ДП "Укрдержбудекспертиза" 19.06.2018 року, експертний звіт №16-0563-18 від 19.06.2018 року. Загальна вартість згідно до Зведеного кошторисного розрахунку вартості об'єкта будівництва складає 19335,6 тис.грн.</t>
  </si>
  <si>
    <t>Витрати складені виходячи із фактичного об'єму відходів суден КП МПРС відповідно до санітарних норм, що діють в портах заходу. Недовиконання планового показника пов'язане з відсутністю на дату складанні фін плану статистики р/с Сапфір щодо об'ємів лляльних та стічних вод та відходів, що утворилися в результаті життєдіяльності екіпажу судна.</t>
  </si>
  <si>
    <t>Зменшення витрат пов’язано зі зменшенням витрат на плати за використання радіочастотного ресурсу України, через отримання нових дозволів на використання радіочастотного ресурсу України в межах виділеної частини смуг радіочастот загального користування (відповідно до ст. 254 ПКУ)</t>
  </si>
  <si>
    <t>інші доходи (безоплатно отримані активи)</t>
  </si>
  <si>
    <t>дохід від безоплатно одержаних активів (основні засоби та нематеріальні активи, куплені за кошті цільового фінансування)</t>
  </si>
  <si>
    <t>інші доходи</t>
  </si>
  <si>
    <t>1152/1</t>
  </si>
  <si>
    <t>1152/2</t>
  </si>
  <si>
    <t>1152/3</t>
  </si>
  <si>
    <t>Розробка та експертиза проектної документації на об'єкт: Технічне переоснащення Експлуатаційного центру управління Берегового радіоцентру морського району А1, А2 ГМЗЛБ м Бердянськ</t>
  </si>
  <si>
    <t>Обладнання для системи технічного захисту офісу КП "МПРС"</t>
  </si>
  <si>
    <t>Придбання мережевого обладнання та інших засобів зв'язку</t>
  </si>
  <si>
    <t>Переносний дизельгенератор 6,5кВт</t>
  </si>
  <si>
    <t>Придбання колісного багатофункціонального екскаватора-навантажувача вантажопідйомністю 4т</t>
  </si>
  <si>
    <t>придбання житлових модулів</t>
  </si>
  <si>
    <t>Придбання човна (5,2м) із двигуном (90 к.с.), 1 од, для м/б "Витязь"</t>
  </si>
  <si>
    <t>Придбання човна (6,9 м) із двигуном (2*140=280 к.с.), 1од,  на м/б "Сапфір"</t>
  </si>
  <si>
    <t>Придбання технологічного обладнання та елементів металоконструкцій базової станції у м.Бердянськ</t>
  </si>
  <si>
    <t>Розробка та експертиза проектної документації на об'єкт: Будівництво Базової станції "Бердянськ" Берегової радіостанції  морського району А1 ГМЗЛБ м.Бердянськ</t>
  </si>
  <si>
    <t>витрати на представництво міжнародним адвокатом</t>
  </si>
  <si>
    <t>1086/9</t>
  </si>
  <si>
    <t>3170/5</t>
  </si>
  <si>
    <t>пільгові пенсій</t>
  </si>
  <si>
    <t>Оплата авансу за розробку проекту керівного нормативного документа України</t>
  </si>
  <si>
    <t>3110/1</t>
  </si>
  <si>
    <t>3110/2</t>
  </si>
  <si>
    <t>3110/3</t>
  </si>
  <si>
    <t>3110/4</t>
  </si>
  <si>
    <t>3110/5</t>
  </si>
  <si>
    <t>Оплата авансу за проведення аудиту</t>
  </si>
  <si>
    <t>Реконструкція чотирьох поверхової будівлі Морського рятувального підцентру КП «МПРС» у м. Бердянськ (проектування та роботи)</t>
  </si>
  <si>
    <t>Поставка, монтаж та налаштування обладнання згідно проектної документації на об’єкт: Технічне переоснащення Базової станції «В.Фонтан» Берегової радіостанції морського району А1, А2 Глобальної морської системи зв’язку під час лиха та для забезпечення безпеки мореплавства м. Одеса за адресою: м. Одеса, пров. Маячний, 5 (мис Великий Фонтан, територія ДУ «Держгідрографія»)</t>
  </si>
  <si>
    <t>Придбання автомобіля Volkswagen Amarok</t>
  </si>
  <si>
    <t>Будівельні роботи згідно проектної документації на об’єкт: Нове будівництво Базової станції «Лазурне» Берегової радіостанції морського району А1 Глобальної морської системи зв’язку під час лиха для забезпечення безпеки, за адресою: вул. Приозерна, смт Лазурне, Скадовського району, Херсонської області</t>
  </si>
  <si>
    <t>Будівельні роботи згідно проектної документації на об’єкт: Нове будівництво Базової станції «Миколаївка» Берегової радіостанції морського району А1 Глобальної морської системи зв’язку під час лиха та для забезпечення безпеки мореплавства, за адресою: Одеська область,  Білгород-Дністровський район, с. Миколаївка,  вул. Гагаріна, 69/5</t>
  </si>
  <si>
    <t>Поставка, монтаж та налаштування обладнання згідно проектної документації на об'єкт: Будівництво Базової станції "Бердянськ" Берегової радіостанції  морського району А1 ГМЗЛБ м.Бердянськ</t>
  </si>
  <si>
    <t>Отримання технічних умов для підключення до електричних мереж нових об'єктів будівництва</t>
  </si>
  <si>
    <t>Будівництво мережі водопостачання та водовідведення для будівлі м.Бердянськ, вул.Горького, 12 (проект)</t>
  </si>
  <si>
    <t>Будівництво мереж зовнішнього електропостачання для будівлі в м.Бердянськ, вул.Горького, 12 (проект)</t>
  </si>
  <si>
    <t>Проект реконструкції трансформаторної підстанції №4796, розташованої в с.Олександрівка, вул.Судоремонтна, 33</t>
  </si>
  <si>
    <t>Будівництво мережі водопостачання та водовідведення для будівлі м.Бердянськ, вул.Горького, 12 (проект )</t>
  </si>
  <si>
    <t>Будівництво Базової станції «Бердянськ» Берегової радіостанції морського району А1 ГМЗЛБ м. Бердянськ</t>
  </si>
  <si>
    <t>за   2018 рік</t>
  </si>
  <si>
    <t>(рік)</t>
  </si>
  <si>
    <t>Звітний період (2018 рік)</t>
  </si>
  <si>
    <t>1051/4</t>
  </si>
  <si>
    <t>Водопостачання суден КП "МПРС"</t>
  </si>
  <si>
    <t>Будівельні роботи згідно  проектної документації на об’єкт: Нове будівництво Базової станції «Лазурне» Берегової радіостанції морського району А1 Глобальної морської системи зв’язку під час лиха для забезпечення безпеки, за адресою: вул. Приозерна, смт Лазурне, Скадовського району, Херсонської області</t>
  </si>
  <si>
    <t>Будівельні роботи згідно  проектної документації на об’єкт: Будівництво Базової станції «Бердянськ» Берегової радіостанції морського району А1 ГМЗЛБ м. Бердянськ</t>
  </si>
  <si>
    <t>Будівництво прохідної в с. Олександрівка</t>
  </si>
  <si>
    <t xml:space="preserve">Розробка та експертиза проектної документації на об єкт: Нове будівництво приймального радіоцентру Берегової радіостанції морскього району А2 ГМЗЛБ м. Одеса </t>
  </si>
  <si>
    <t>Поставка, монтаж та налаштування обладнання згідно проектної документації на об’єкт: Технічне переоснащення Експлуатаційного центру управління Берегового радіоцентру морського району А1, А2 ГМЗЛБ м.Бердянськ</t>
  </si>
  <si>
    <t>Поставка, монтаж та налаштування обладнання згідно проектної документації на об’єкт: Технічне переоснащення Експлуатаційного центру управління Берегового радіоцентру морського району А1, А2 ГМЗЛБ м.Одеса</t>
  </si>
  <si>
    <t>Розробка та експертиза проектної документації на об єкт: Технічне переоснащення передвального радіоцентру Берегової радіостанції морського району А2 ГМЗЛБ м. Одеса</t>
  </si>
  <si>
    <t>Обладнання та інше устаткування на плавзасоби</t>
  </si>
  <si>
    <t>Реконструкція чотирьох поверхової будівлі  Морського рятувального підцентру КП "МПРС" загальною площею 731 м.кв, за адресою: вул.Горького, 12, м.Бердянськ Запорізької області</t>
  </si>
  <si>
    <t xml:space="preserve"> Нове будівництво Базової станції «Лазурне» Берегової радіостанції морського району А1 Глобальної морської системи зв’язку під час лиха для забезпечення безпеки, за адресою: вул. Приозерна, смт Лазурне, Скадовського району, Херсонської області</t>
  </si>
  <si>
    <t>Нове будівництво Базової станції «Миколаївка» Берегової радіостанції морського району А1 Глобальної морської системи зв’язку під час лиха та для забезпечення безпеки мореплавства, за адресою: Одеська область,  Білгород-Дністровський район, с. Миколаївка,  вул. Гагаріна, 69/5</t>
  </si>
  <si>
    <t>2017-2020</t>
  </si>
  <si>
    <t>Нове будівництво Базової станції «Зміїний» Берегової радіостанції морського району А1 Глобальної морської системи зв’язку під час лиха та для забезпечення безпеки мореплавства, за адресою: с. Біле, о. Зміїний, Кілійського району, Одеської області</t>
  </si>
  <si>
    <t>Реалізація проекту будівництва розміщення об'єктів ГМЗЛБ - забезпечення безпеки мореплавства, що передбачена Стратегічним планом розвитку КП "МПРС" на 2017-2021 роки, затвердженим наказом МІУ № 413 від 30.11.2017р.</t>
  </si>
  <si>
    <t>У зв’язку із введенням в дію змін  № 2 до ДСТУ БД.1.1-1:2013 «Правила визначення вартості будівництва» та № 2 до ДСТУ НБ Д.1.1-3:2013 «Настанова щодо визначення загальновиробничих і адміністративних витрат та прибутку у вартості будівництва» згідно до наказу від 16.04.2018 № 102 заплановане проведення повторної експертизи проектної документації.</t>
  </si>
  <si>
    <t>план 2018 року</t>
  </si>
  <si>
    <t>факт 2018 року</t>
  </si>
  <si>
    <t>Розробка та експертиза проектної документації на об’єкт: Нове будівництво Базової станції «Очаків» Берегової радіостанції морського району А1 Глобальної морської системи зв’язку під час лиха та для забезпечення безпеки мореплавства, за адресою: Миколаївська область, Очаківський район, с.Чорноморка, вул. Суворова, 126/7</t>
  </si>
  <si>
    <t>Поставка, монтаж та налаштування обладнання згідно проектної документації на об'єкт: Будівництво Базової станції "Маріуполь" Берегової радіостанції морського району А1 ГМЗЛБ м.Бердянськ</t>
  </si>
  <si>
    <t>Будівництво прохідної в смт Олександрівка</t>
  </si>
  <si>
    <t>2018-2019</t>
  </si>
  <si>
    <t xml:space="preserve">Проектно-коштористна документація "Нове будівництво Базової станції «Миколаївка» Берегової радіостанції морського району А1 Глобальної морської системи зв’язку під час лиха та для забезпечення безпеки мореплавства, за адресою: Одеська область,  Білгород-Дністровський район, с. Миколаївка,  вул. Гагаріна, 69/5" отримала позитивний висновок ДП "Укрдержбудекспертиза" від 22.08.2018 року № 16-1291/1/-18. Загальна вартість згідно до Зведеного кошторисного розрахунку вартості об єкта будівництва складає 23594,687 тис грн. з ПДВ. </t>
  </si>
  <si>
    <t>до звіту фінансового плану за 2018 рік</t>
  </si>
  <si>
    <t>Потреби в послугах  державних реестраторів та ТПП за звітний період не було</t>
  </si>
  <si>
    <t>автомобіль Kia Pregio 1998 р.в., що використовувався в адміністративних цілях, перепорядковано на виробничий підрозділ починаючи з 2 кварталу 2018 року</t>
  </si>
  <si>
    <t>Витрати на послуги архіваріусів нижчі в порівнянні з плановими у зв'язку з тим, що виконавець робіт не є платником ПДВ</t>
  </si>
  <si>
    <t>Витрати на навчання освоєно в межах потреби  та актуальності проведених навчальних  заходів</t>
  </si>
  <si>
    <t>У зв'язку з фактичним  введенням в експлуатацію ОЗ, закуплених в 2017 році, в 2018 році (планово - в 2017 рік), відбулося перевиконання статті витрат.</t>
  </si>
  <si>
    <t>У зв'язку із перенесенням розгляду двох справ, что планувалися у  2018 році, на 2019 рік, зменшились втрати на  послуги з представництва адвокатом в суді. Фактичні витрати на представництво адвоката в судових засіданнях склали лише 52 тис.грн. в порівнянні з 323тис.грн. по плану. Витрати на судові збори склали 76 тис.грн. в порівнянні з 80 тис.грн. згідно плану, витрати на послуги нотаріусів 1 тис.грн. в порівнянні з 9 тис.грн згідно планових показників.</t>
  </si>
  <si>
    <t>ПДВ не врахований в авансових звітах</t>
  </si>
  <si>
    <t>Стаття включає витрати на лізинг автотранспорту (2923 тис.грн.); витрати на послуги вантажних автомобільних перевезень (109 тис.грн.); витрати на бербоут-чартер м/б "Витязь" (1101 тис.грн.); витрати на оренду приміщень для членів екіпажу та об'єктів ГМЗЛБ та відшкодування витрат на їх утримання (1628 тис.грн.); інші витрати (137 тис.грн.)</t>
  </si>
  <si>
    <r>
      <t xml:space="preserve">Заплановано використання запчастин у сумі 300 тис. грн. при проведенні технічного обслуговування р/с Сапфір, ПРК-06, але відповідно до складеного договору технічне обслуговування  суден проводилося з використанням запасних частин та матеріалів виконавця. </t>
    </r>
    <r>
      <rPr>
        <sz val="12"/>
        <color rgb="FF000000"/>
        <rFont val="Times New Roman"/>
        <family val="1"/>
        <charset val="204"/>
      </rPr>
      <t>Витрати на запчастини при проведенні аварійних ремонтів були заплановані у сумі 715 тис. грн., проте судна підприємства не потребували проведення аварійних ремонтів у звітному періоді.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В результаті торгів </t>
    </r>
    <r>
      <rPr>
        <sz val="12"/>
        <rFont val="Times New Roman"/>
        <family val="1"/>
        <charset val="204"/>
      </rPr>
      <t xml:space="preserve">при проведенні закупівлі запасних частин для ремонту ПРК-01-ПРК-06 </t>
    </r>
    <r>
      <rPr>
        <sz val="12"/>
        <color rgb="FF000000"/>
        <rFont val="Times New Roman"/>
        <family val="1"/>
        <charset val="204"/>
      </rPr>
      <t xml:space="preserve">економія склала 6%, також були скориговані потреби у заміні вузлів та агрегатів відповідно до фактичного напрацювання мотогодин суден.  Загальна економія на змінно-запасних частинах при проведенні ремонту ПРК-01 – ПРК-06 склала 619 тис. грн. </t>
    </r>
    <r>
      <rPr>
        <sz val="12"/>
        <rFont val="Times New Roman"/>
        <family val="1"/>
        <charset val="204"/>
      </rPr>
      <t xml:space="preserve">У 4 кварталі планувалась заміна  зарядного пристрою для ПРК-03 Phoenix Compact 12/3000 12/220 3КВт орієнтовною вартістю 66 тис. грн., але за причиною невідповідності тендерним умовам наданих пропозицій учасниками відкритих торгів, торги були відмінені. Витрати на фарбу заплановані в сумі 400 тис. грн. Договір на постачання фарби, після проведення повторних торгів, було складено лише наприкінці року. Фактичні витрати на спецодяг складають 30% від запланованого рівня. </t>
    </r>
    <r>
      <rPr>
        <sz val="12"/>
        <color rgb="FF000000"/>
        <rFont val="Times New Roman"/>
        <family val="1"/>
        <charset val="204"/>
      </rPr>
      <t>Витрати на продукти харчування для екіпажу р/с "Сапфір" та на сухпайки для екіпажів ПРК фактично склали 81% від плану на рік.</t>
    </r>
  </si>
  <si>
    <t xml:space="preserve">Витрати на навчання з електробезпеки перенесені на 2019 рік. Витрати на медичне обстеження працівників освоєні виходячи з виробничої потреби підприємства. </t>
  </si>
  <si>
    <t>Послуги отримано відповідно до виробничої потреби</t>
  </si>
  <si>
    <t>Витрати складені відповідно до фактичного використаного трафіка супутникового зв’язку INMARSAT у сумі 479 тис. грн., що складає 47,4% від запланованих витрат на супутниковий зв'язок. Витрати на зв'язок INMARSAT планувалися для навчання та випадок проведення пошуково-рятувальної операції. Фактичні витрати на користування каналами передачі даних склали 46 тис. грн. за рік (27,2% від плана). Економія витрат пов'язана  із перенесення вводу в експлуатацію нових базових станцій  та відсутності підключення додаткових каналів передачі даних. Економія на послугах мобільного та стаціонарного зв'язку склала 19 тис. грн. за рік.</t>
  </si>
  <si>
    <t>Загальна економія витрат після проведення торгів з закупівлі послуг з навчання екіпажів ПРК за напрямками "Психологічна підготовка екіпажів ПРК" , курси комунікації та підтримки, "Матрос пошуково-рятувальної одиниці", "Оцінка та управління ризиками", "Координатор на місці проведення SAR" склала 129 тис. грн. Отримання послуг щодо навчання з безпечного виконання робіт на висоті та навчання спеціалістів відділу інформаційних технологій перенесено на наступні періоди.</t>
  </si>
  <si>
    <t>Розробка проекту керівного нормативного документа України: "Норми постачання матеріалами, інвентарним майном (у тому числі аварійно-рятувальним майном (АРМ) для цілей пошуку та рятування) і інструментом суден, що забезпечують пошуково-рятувальні роботи" із збільшенням суми закупівлі до 300 тис. грн. перенесено на 2019 рік. Витрати на оцінку майна, зняття з обліку транспортних засобів, отримання технічних висновків  щодо майна ДП "МАРС" перенесені до інших операційних витрат (300 тис. грн). У зв’язку із перенесенням закупівлі діелектричного інструменту та засобів діелектричного захисту на кінець 2018 року отримання  послуг з проведення електротехнічних вимірювальних робіт заплановане на 2019 рік. (30 тис. грн.). Економія витрат по іншим послугам (метрологічна перевірка, економічні дослідження, коректура карт, експертні обстеження тощо) склала 72 тис. грн.</t>
  </si>
  <si>
    <t xml:space="preserve">У першому кварталі року по даній статті було заплановано витрати на охорону будівлі за адресою: м.Одеса, вул.Приморська, 3а. Фактичні витрати на охорону відображені у рядку 1051/4/11 </t>
  </si>
  <si>
    <t>Перевиконання доходів пов’язано із незапланованим збільшенням звернень судновласників під українським прапором за послугами активації терміналів INMARSAT та послугами НЦД ДІКМС на прикінці 2018 року</t>
  </si>
  <si>
    <t>У зв'язку з відсутністю статистики по фактичному споживанню суднами електроенергії планові витрати складені з максимального споживання електроенергії в літньо-осінній період</t>
  </si>
  <si>
    <t xml:space="preserve">Економія на витратах на проведення ремонту та технічного огляду обумовлена наступними чинниками: при проведенні ремонту ПРК-01 відповідно до договору економія склала 101 тис. грн.; на ремонт ПРК 03-05 було заплановано 2030 тис. грн., але ремонт був проведений силами робітників КП «МПРС», тому економія на витратах відповідно до плану склала 2030 тис. грн.;  у зв’язку із перенесенням вводу в експлуатацію нових базових станцій проведення технічного обслуговування берегових об’єктів ГМЗЛБ, систем пожежної сигналізації, автономної системи пожежогасіння автономної дії та системи передавання тривожних сповіщень у сумі 238 тис. грн. було перенесено на 2019 рік.; у зв’язку із відсутності фактичної наробітки моточасів для проведення технічного обслуговування моторів човнів, що куплені у 2017 році, проведення їх ТО перенесено на 2019 рік. у сумі 88 тис. грн. </t>
  </si>
  <si>
    <r>
      <t xml:space="preserve">Зниження запланованих витрат пов’язано із зменшенням витрат на міжнародні відрядження працівників КП «МПРС». Участь у  2-му засіданні о Наглядового комітету Проекту «Морська безпека, охорона та захист навколишнього середовища в регіонах Чорного та Каспійського морів», м. Батумі, Грузія одного із двох представників КП «МПРС» було здійснено за рахунок проекту. Делегація КП «МПРС» на 99-ї чергової сесії Комітету з безпеки на морі, Міжнародної морської організації у травні поточного року була скорочена до двох осіб. </t>
    </r>
    <r>
      <rPr>
        <sz val="12"/>
        <color rgb="FF000000"/>
        <rFont val="Times New Roman"/>
        <family val="1"/>
        <charset val="204"/>
      </rPr>
      <t>Візит до Морської адміністрації Румунії - не відбулся, оскільки вирішення  питань, що планувалися до обговорення з румунською стороною, було здійснено дипломатичними каналами через МЗС України.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Відрядження до Морської адміністрації Грузії, м. Батумі не відбулося, оскільки обговорення питань було проведено </t>
    </r>
    <r>
      <rPr>
        <sz val="12"/>
        <rFont val="Times New Roman"/>
        <family val="1"/>
        <charset val="204"/>
      </rPr>
      <t xml:space="preserve">під час відвідування представників КП «МПРС» у складі делегації України Міжнародного Морського Форуму (м.Батумі, 12-14.09.2018). </t>
    </r>
    <r>
      <rPr>
        <sz val="12"/>
        <color rgb="FF000000"/>
        <rFont val="Times New Roman"/>
        <family val="1"/>
        <charset val="204"/>
      </rPr>
      <t>У зв’язку із відсутністю виробничої потреби візит до представництва компанії «Ейрбас» м. Париж було відмінено. Усі витрати щодо відвідування семінару в рамках Проекту з питань Чорного та Каспійського морів Європейського агентства з питань морської безпеки було здійснено за рахунок приймаючої сторони.</t>
    </r>
  </si>
  <si>
    <t>Закупівля послуг запланована на наступні періоди</t>
  </si>
  <si>
    <t>Економія пов’язана з відсутністю потреби в  обслуговуванні бухгалтерської програми.</t>
  </si>
  <si>
    <t>Аналіз вартості ефірного часу телерадіокомпаній та часи виходу  не відповідають запланованим витратам КП «МПРС». Потрібний ефірний час або зайнятий або не вкладається в фінансові можливості підприємства. Економія за статтею складає 64 тис. грн.</t>
  </si>
  <si>
    <t>У 1 кварталі 2018 року витрати на охорону будівлі було заплановано у собівартості, проте фактично витрати обліковувалися в розділі адміністративних витрат починаючи з 1 кварталу 2018 року.</t>
  </si>
  <si>
    <t>Доходи цільового фінансування дорівнюють витратам, пов'язаним з виконанням функції з пошуку та рятування</t>
  </si>
  <si>
    <t>Переплата з податку на прибуток, ЄСВ та земельного податку ДП "МАРС", що передані до КП "МПРС" після реорганізації ДП "МАРС"</t>
  </si>
  <si>
    <t xml:space="preserve">Стаття складається з доходів від залишків по поточним рахункам (8740 тис.грн.) інших доходів (додатковий ефірний час, штрафи, компенсація витрат) (302 тис.грн.) </t>
  </si>
  <si>
    <t>За рахунок зменшення витрат на додаткове заохочення працівників</t>
  </si>
  <si>
    <t>Закупівля питної води закупівля питної води згідно з Колективним договором,  витрати на податок на нерухомість та земельний податок щодо адміністративної будівлі АСПТР (м.Одеса, Приморська 3а)</t>
  </si>
  <si>
    <t>З метою підготовки документів для списання та продажу необоротних активів колишнього ДП "МАРС" отримано технічне заключеня Регістру судноплавства України. Проведена процедура закупівлі послуг з оцінки майна.</t>
  </si>
  <si>
    <t>Дохід від амортизації безкоштовно отриманих основних засобів</t>
  </si>
  <si>
    <t>Дохід від амортизації  основних засобів, куплених за кошти цільового фінансування</t>
  </si>
  <si>
    <t>лікарняні  (перші 5 днів)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</si>
</sst>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_);_(* \(#,##0\);_(* &quot;-&quot;??_);_(@_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-* #,##0.0_р_._-;\-* #,##0.0_р_._-;_-* &quot;-&quot;?_р_._-;_-@_-"/>
    <numFmt numFmtId="181" formatCode="_-* #,##0.0\ _₴_-;\-* #,##0.0\ _₴_-;_-* &quot;-&quot;?\ _₴_-;_-@_-"/>
  </numFmts>
  <fonts count="8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98"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5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6" fillId="12" borderId="0" applyNumberFormat="0" applyBorder="0" applyAlignment="0" applyProtection="0"/>
    <xf numFmtId="0" fontId="18" fillId="12" borderId="0" applyNumberFormat="0" applyBorder="0" applyAlignment="0" applyProtection="0"/>
    <xf numFmtId="0" fontId="36" fillId="9" borderId="0" applyNumberFormat="0" applyBorder="0" applyAlignment="0" applyProtection="0"/>
    <xf numFmtId="0" fontId="18" fillId="9" borderId="0" applyNumberFormat="0" applyBorder="0" applyAlignment="0" applyProtection="0"/>
    <xf numFmtId="0" fontId="36" fillId="10" borderId="0" applyNumberFormat="0" applyBorder="0" applyAlignment="0" applyProtection="0"/>
    <xf numFmtId="0" fontId="18" fillId="10" borderId="0" applyNumberFormat="0" applyBorder="0" applyAlignment="0" applyProtection="0"/>
    <xf numFmtId="0" fontId="36" fillId="13" borderId="0" applyNumberFormat="0" applyBorder="0" applyAlignment="0" applyProtection="0"/>
    <xf numFmtId="0" fontId="18" fillId="13" borderId="0" applyNumberFormat="0" applyBorder="0" applyAlignment="0" applyProtection="0"/>
    <xf numFmtId="0" fontId="36" fillId="14" borderId="0" applyNumberFormat="0" applyBorder="0" applyAlignment="0" applyProtection="0"/>
    <xf numFmtId="0" fontId="18" fillId="14" borderId="0" applyNumberFormat="0" applyBorder="0" applyAlignment="0" applyProtection="0"/>
    <xf numFmtId="0" fontId="36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9" fillId="3" borderId="0" applyNumberFormat="0" applyBorder="0" applyAlignment="0" applyProtection="0"/>
    <xf numFmtId="0" fontId="21" fillId="20" borderId="1" applyNumberFormat="0" applyAlignment="0" applyProtection="0"/>
    <xf numFmtId="0" fontId="26" fillId="21" borderId="2" applyNumberFormat="0" applyAlignment="0" applyProtection="0"/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49" fontId="37" fillId="0" borderId="3">
      <alignment horizontal="center" vertical="center"/>
      <protection locked="0"/>
    </xf>
    <xf numFmtId="167" fontId="15" fillId="0" borderId="0" applyFont="0" applyFill="0" applyBorder="0" applyAlignment="0" applyProtection="0"/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49" fontId="15" fillId="0" borderId="3">
      <alignment horizontal="left" vertical="center"/>
      <protection locked="0"/>
    </xf>
    <xf numFmtId="0" fontId="16" fillId="0" borderId="0"/>
    <xf numFmtId="0" fontId="30" fillId="0" borderId="0" applyNumberFormat="0" applyFill="0" applyBorder="0" applyAlignment="0" applyProtection="0"/>
    <xf numFmtId="170" fontId="38" fillId="0" borderId="0" applyAlignment="0">
      <alignment wrapText="1"/>
    </xf>
    <xf numFmtId="0" fontId="33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</xf>
    <xf numFmtId="49" fontId="15" fillId="0" borderId="0" applyNumberFormat="0" applyFont="0" applyAlignment="0">
      <alignment vertical="top" wrapText="1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15" fillId="0" borderId="0" applyNumberFormat="0" applyFont="0" applyAlignment="0">
      <alignment vertical="top" wrapText="1"/>
      <protection locked="0"/>
    </xf>
    <xf numFmtId="49" fontId="40" fillId="22" borderId="7">
      <alignment horizontal="left" vertical="center"/>
      <protection locked="0"/>
    </xf>
    <xf numFmtId="49" fontId="40" fillId="22" borderId="7">
      <alignment horizontal="left" vertical="center"/>
    </xf>
    <xf numFmtId="4" fontId="40" fillId="22" borderId="7">
      <alignment horizontal="right" vertical="center"/>
      <protection locked="0"/>
    </xf>
    <xf numFmtId="4" fontId="40" fillId="22" borderId="7">
      <alignment horizontal="right" vertical="center"/>
    </xf>
    <xf numFmtId="4" fontId="41" fillId="22" borderId="7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7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7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9" fontId="46" fillId="22" borderId="3">
      <alignment horizontal="left" vertical="center"/>
      <protection locked="0"/>
    </xf>
    <xf numFmtId="49" fontId="46" fillId="22" borderId="3">
      <alignment horizontal="left" vertical="center"/>
    </xf>
    <xf numFmtId="4" fontId="45" fillId="22" borderId="3">
      <alignment horizontal="right" vertical="center"/>
      <protection locked="0"/>
    </xf>
    <xf numFmtId="4" fontId="45" fillId="22" borderId="3">
      <alignment horizontal="right" vertical="center"/>
    </xf>
    <xf numFmtId="4" fontId="47" fillId="22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" fontId="49" fillId="0" borderId="3">
      <alignment horizontal="right" vertical="center"/>
      <protection locked="0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9" fontId="51" fillId="0" borderId="3">
      <alignment horizontal="left" vertical="center"/>
      <protection locked="0"/>
    </xf>
    <xf numFmtId="49" fontId="51" fillId="0" borderId="3">
      <alignment horizontal="left" vertical="center"/>
    </xf>
    <xf numFmtId="4" fontId="50" fillId="0" borderId="3">
      <alignment horizontal="right" vertical="center"/>
      <protection locked="0"/>
    </xf>
    <xf numFmtId="4" fontId="50" fillId="0" borderId="3">
      <alignment horizontal="right" vertical="center"/>
    </xf>
    <xf numFmtId="49" fontId="48" fillId="0" borderId="3">
      <alignment horizontal="left" vertical="center"/>
      <protection locked="0"/>
    </xf>
    <xf numFmtId="49" fontId="49" fillId="0" borderId="3">
      <alignment horizontal="left" vertical="center"/>
      <protection locked="0"/>
    </xf>
    <xf numFmtId="4" fontId="48" fillId="0" borderId="3">
      <alignment horizontal="right" vertical="center"/>
      <protection locked="0"/>
    </xf>
    <xf numFmtId="0" fontId="31" fillId="0" borderId="8" applyNumberFormat="0" applyFill="0" applyAlignment="0" applyProtection="0"/>
    <xf numFmtId="0" fontId="28" fillId="23" borderId="0" applyNumberFormat="0" applyBorder="0" applyAlignment="0" applyProtection="0"/>
    <xf numFmtId="0" fontId="15" fillId="0" borderId="0"/>
    <xf numFmtId="0" fontId="15" fillId="0" borderId="0"/>
    <xf numFmtId="0" fontId="15" fillId="24" borderId="0" applyNumberFormat="0" applyFill="0" applyAlignment="0">
      <alignment horizontal="center"/>
      <protection locked="0"/>
    </xf>
    <xf numFmtId="0" fontId="3" fillId="25" borderId="9" applyNumberFormat="0" applyFont="0" applyAlignment="0" applyProtection="0"/>
    <xf numFmtId="4" fontId="52" fillId="26" borderId="3">
      <alignment horizontal="right" vertical="center"/>
      <protection locked="0"/>
    </xf>
    <xf numFmtId="4" fontId="52" fillId="27" borderId="3">
      <alignment horizontal="right" vertical="center"/>
      <protection locked="0"/>
    </xf>
    <xf numFmtId="4" fontId="52" fillId="28" borderId="3">
      <alignment horizontal="right" vertical="center"/>
      <protection locked="0"/>
    </xf>
    <xf numFmtId="0" fontId="20" fillId="20" borderId="10" applyNumberFormat="0" applyAlignment="0" applyProtection="0"/>
    <xf numFmtId="49" fontId="37" fillId="0" borderId="3">
      <alignment horizontal="left" vertical="center" wrapText="1"/>
      <protection locked="0"/>
    </xf>
    <xf numFmtId="49" fontId="37" fillId="0" borderId="3">
      <alignment horizontal="left" vertical="center" wrapText="1"/>
      <protection locked="0"/>
    </xf>
    <xf numFmtId="0" fontId="76" fillId="0" borderId="0"/>
    <xf numFmtId="0" fontId="2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17" borderId="0" applyNumberFormat="0" applyBorder="0" applyAlignment="0" applyProtection="0"/>
    <xf numFmtId="0" fontId="18" fillId="17" borderId="0" applyNumberFormat="0" applyBorder="0" applyAlignment="0" applyProtection="0"/>
    <xf numFmtId="0" fontId="36" fillId="18" borderId="0" applyNumberFormat="0" applyBorder="0" applyAlignment="0" applyProtection="0"/>
    <xf numFmtId="0" fontId="18" fillId="18" borderId="0" applyNumberFormat="0" applyBorder="0" applyAlignment="0" applyProtection="0"/>
    <xf numFmtId="0" fontId="36" fillId="13" borderId="0" applyNumberFormat="0" applyBorder="0" applyAlignment="0" applyProtection="0"/>
    <xf numFmtId="0" fontId="18" fillId="13" borderId="0" applyNumberFormat="0" applyBorder="0" applyAlignment="0" applyProtection="0"/>
    <xf numFmtId="0" fontId="36" fillId="14" borderId="0" applyNumberFormat="0" applyBorder="0" applyAlignment="0" applyProtection="0"/>
    <xf numFmtId="0" fontId="18" fillId="14" borderId="0" applyNumberFormat="0" applyBorder="0" applyAlignment="0" applyProtection="0"/>
    <xf numFmtId="0" fontId="36" fillId="19" borderId="0" applyNumberFormat="0" applyBorder="0" applyAlignment="0" applyProtection="0"/>
    <xf numFmtId="0" fontId="18" fillId="19" borderId="0" applyNumberFormat="0" applyBorder="0" applyAlignment="0" applyProtection="0"/>
    <xf numFmtId="0" fontId="53" fillId="7" borderId="1" applyNumberFormat="0" applyAlignment="0" applyProtection="0"/>
    <xf numFmtId="0" fontId="19" fillId="7" borderId="1" applyNumberFormat="0" applyAlignment="0" applyProtection="0"/>
    <xf numFmtId="0" fontId="54" fillId="20" borderId="10" applyNumberFormat="0" applyAlignment="0" applyProtection="0"/>
    <xf numFmtId="0" fontId="20" fillId="20" borderId="10" applyNumberFormat="0" applyAlignment="0" applyProtection="0"/>
    <xf numFmtId="0" fontId="55" fillId="20" borderId="1" applyNumberFormat="0" applyAlignment="0" applyProtection="0"/>
    <xf numFmtId="0" fontId="21" fillId="20" borderId="1" applyNumberFormat="0" applyAlignment="0" applyProtection="0"/>
    <xf numFmtId="171" fontId="15" fillId="0" borderId="0" applyFont="0" applyFill="0" applyBorder="0" applyAlignment="0" applyProtection="0"/>
    <xf numFmtId="0" fontId="56" fillId="0" borderId="4" applyNumberFormat="0" applyFill="0" applyAlignment="0" applyProtection="0"/>
    <xf numFmtId="0" fontId="22" fillId="0" borderId="4" applyNumberFormat="0" applyFill="0" applyAlignment="0" applyProtection="0"/>
    <xf numFmtId="0" fontId="57" fillId="0" borderId="5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5" fillId="0" borderId="11" applyNumberFormat="0" applyFill="0" applyAlignment="0" applyProtection="0"/>
    <xf numFmtId="0" fontId="60" fillId="21" borderId="2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7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78" fillId="0" borderId="0"/>
    <xf numFmtId="0" fontId="3" fillId="0" borderId="0"/>
    <xf numFmtId="0" fontId="1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15" fillId="0" borderId="0"/>
    <xf numFmtId="0" fontId="3" fillId="0" borderId="0"/>
    <xf numFmtId="0" fontId="15" fillId="0" borderId="0"/>
    <xf numFmtId="0" fontId="15" fillId="0" borderId="0" applyNumberFormat="0" applyFont="0" applyFill="0" applyBorder="0" applyAlignment="0" applyProtection="0">
      <alignment vertical="top"/>
    </xf>
    <xf numFmtId="0" fontId="77" fillId="0" borderId="0"/>
    <xf numFmtId="0" fontId="77" fillId="0" borderId="0"/>
    <xf numFmtId="0" fontId="15" fillId="0" borderId="0" applyNumberFormat="0" applyFont="0" applyFill="0" applyBorder="0" applyAlignment="0" applyProtection="0">
      <alignment vertical="top"/>
    </xf>
    <xf numFmtId="0" fontId="77" fillId="0" borderId="0"/>
    <xf numFmtId="0" fontId="3" fillId="0" borderId="0"/>
    <xf numFmtId="0" fontId="77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62" fillId="3" borderId="0" applyNumberFormat="0" applyBorder="0" applyAlignment="0" applyProtection="0"/>
    <xf numFmtId="0" fontId="29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25" borderId="9" applyNumberFormat="0" applyFont="0" applyAlignment="0" applyProtection="0"/>
    <xf numFmtId="0" fontId="15" fillId="25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31" fillId="0" borderId="8" applyNumberFormat="0" applyFill="0" applyAlignment="0" applyProtection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9" fillId="4" borderId="0" applyNumberFormat="0" applyBorder="0" applyAlignment="0" applyProtection="0"/>
    <xf numFmtId="0" fontId="33" fillId="4" borderId="0" applyNumberFormat="0" applyBorder="0" applyAlignment="0" applyProtection="0"/>
    <xf numFmtId="175" fontId="70" fillId="22" borderId="12" applyFill="0" applyBorder="0">
      <alignment horizontal="center" vertical="center" wrapText="1"/>
      <protection locked="0"/>
    </xf>
    <xf numFmtId="170" fontId="71" fillId="0" borderId="0">
      <alignment wrapText="1"/>
    </xf>
    <xf numFmtId="170" fontId="3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0">
    <xf numFmtId="0" fontId="0" fillId="0" borderId="0" xfId="0"/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169" fontId="6" fillId="0" borderId="0" xfId="0" applyNumberFormat="1" applyFont="1" applyFill="1" applyAlignment="1">
      <alignment vertical="center"/>
    </xf>
    <xf numFmtId="0" fontId="6" fillId="0" borderId="3" xfId="240" applyNumberFormat="1" applyFont="1" applyFill="1" applyBorder="1" applyAlignment="1">
      <alignment horizontal="left" vertical="top" wrapText="1"/>
    </xf>
    <xf numFmtId="0" fontId="14" fillId="0" borderId="0" xfId="0" applyFont="1" applyFill="1"/>
    <xf numFmtId="0" fontId="5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3" xfId="24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249" applyFont="1" applyFill="1" applyBorder="1" applyAlignment="1">
      <alignment vertical="center"/>
    </xf>
    <xf numFmtId="0" fontId="6" fillId="0" borderId="3" xfId="249" applyFont="1" applyFill="1" applyBorder="1" applyAlignment="1">
      <alignment horizontal="left" vertical="center" wrapText="1"/>
    </xf>
    <xf numFmtId="0" fontId="5" fillId="0" borderId="0" xfId="249" applyFont="1" applyFill="1" applyBorder="1" applyAlignment="1">
      <alignment vertical="center"/>
    </xf>
    <xf numFmtId="0" fontId="6" fillId="0" borderId="0" xfId="249" applyFont="1" applyFill="1" applyBorder="1" applyAlignment="1">
      <alignment horizontal="center" vertical="center"/>
    </xf>
    <xf numFmtId="0" fontId="5" fillId="0" borderId="0" xfId="249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3" xfId="2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249" applyFont="1" applyFill="1" applyBorder="1" applyAlignment="1">
      <alignment horizontal="center" vertical="center"/>
    </xf>
    <xf numFmtId="0" fontId="17" fillId="0" borderId="0" xfId="249" applyFont="1" applyFill="1"/>
    <xf numFmtId="0" fontId="6" fillId="0" borderId="0" xfId="249" applyFont="1" applyFill="1" applyBorder="1" applyAlignment="1">
      <alignment vertical="center" wrapText="1"/>
    </xf>
    <xf numFmtId="0" fontId="5" fillId="0" borderId="3" xfId="240" applyFont="1" applyFill="1" applyBorder="1" applyAlignment="1">
      <alignment horizontal="left" vertical="center"/>
    </xf>
    <xf numFmtId="0" fontId="6" fillId="0" borderId="0" xfId="0" applyFont="1" applyFill="1"/>
    <xf numFmtId="0" fontId="12" fillId="0" borderId="3" xfId="0" applyFont="1" applyFill="1" applyBorder="1" applyAlignment="1">
      <alignment horizontal="center" vertical="center" wrapText="1" shrinkToFit="1"/>
    </xf>
    <xf numFmtId="0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quotePrefix="1" applyFont="1" applyFill="1" applyBorder="1" applyAlignment="1">
      <alignment horizontal="center"/>
    </xf>
    <xf numFmtId="0" fontId="6" fillId="0" borderId="0" xfId="249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15" xfId="0" applyFont="1" applyFill="1" applyBorder="1" applyAlignment="1">
      <alignment horizontal="center" vertical="center" wrapText="1"/>
    </xf>
    <xf numFmtId="0" fontId="5" fillId="0" borderId="3" xfId="249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69" fontId="6" fillId="0" borderId="0" xfId="0" quotePrefix="1" applyNumberFormat="1" applyFont="1" applyFill="1" applyBorder="1" applyAlignment="1">
      <alignment vertical="center" wrapText="1"/>
    </xf>
    <xf numFmtId="0" fontId="6" fillId="0" borderId="3" xfId="183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16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3" fontId="6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left" vertical="center" wrapText="1"/>
    </xf>
    <xf numFmtId="169" fontId="6" fillId="0" borderId="3" xfId="240" applyNumberFormat="1" applyFont="1" applyFill="1" applyBorder="1" applyAlignment="1">
      <alignment horizontal="center" vertical="center" wrapText="1"/>
    </xf>
    <xf numFmtId="0" fontId="6" fillId="0" borderId="3" xfId="240" applyNumberFormat="1" applyFont="1" applyFill="1" applyBorder="1" applyAlignment="1">
      <alignment horizontal="left" vertical="center" wrapText="1"/>
    </xf>
    <xf numFmtId="0" fontId="72" fillId="0" borderId="0" xfId="0" applyFont="1" applyFill="1"/>
    <xf numFmtId="49" fontId="6" fillId="0" borderId="3" xfId="24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 shrinkToFit="1"/>
    </xf>
    <xf numFmtId="3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6" fillId="0" borderId="3" xfId="240" applyNumberFormat="1" applyFont="1" applyFill="1" applyBorder="1" applyAlignment="1">
      <alignment horizontal="center" vertical="center" wrapText="1"/>
    </xf>
    <xf numFmtId="0" fontId="6" fillId="0" borderId="3" xfId="24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vertical="center" wrapText="1" shrinkToFit="1"/>
    </xf>
    <xf numFmtId="172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0" fillId="0" borderId="0" xfId="0" applyFill="1"/>
    <xf numFmtId="0" fontId="6" fillId="0" borderId="19" xfId="183" applyFont="1" applyFill="1" applyBorder="1" applyAlignment="1">
      <alignment horizontal="left" vertical="center" wrapText="1"/>
      <protection locked="0"/>
    </xf>
    <xf numFmtId="172" fontId="6" fillId="0" borderId="19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9" xfId="0" quotePrefix="1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72" fontId="5" fillId="0" borderId="1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5" fillId="0" borderId="17" xfId="249" applyFont="1" applyFill="1" applyBorder="1" applyAlignment="1">
      <alignment horizontal="left" vertical="center" wrapText="1"/>
    </xf>
    <xf numFmtId="0" fontId="5" fillId="0" borderId="16" xfId="249" applyFont="1" applyFill="1" applyBorder="1" applyAlignment="1">
      <alignment horizontal="left" vertical="center" wrapText="1"/>
    </xf>
    <xf numFmtId="0" fontId="5" fillId="0" borderId="15" xfId="0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9" xfId="249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20" xfId="249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5" fillId="0" borderId="15" xfId="249" applyFont="1" applyFill="1" applyBorder="1" applyAlignment="1">
      <alignment horizontal="left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68" fontId="6" fillId="0" borderId="3" xfId="308" applyNumberFormat="1" applyFont="1" applyFill="1" applyBorder="1" applyAlignment="1">
      <alignment horizontal="right" vertical="center" wrapText="1"/>
    </xf>
    <xf numFmtId="168" fontId="5" fillId="0" borderId="3" xfId="308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9" fontId="6" fillId="0" borderId="19" xfId="0" applyNumberFormat="1" applyFont="1" applyFill="1" applyBorder="1" applyAlignment="1">
      <alignment horizontal="right" vertical="center" wrapText="1"/>
    </xf>
    <xf numFmtId="169" fontId="5" fillId="0" borderId="19" xfId="0" applyNumberFormat="1" applyFont="1" applyFill="1" applyBorder="1" applyAlignment="1">
      <alignment horizontal="right" vertical="center" wrapText="1"/>
    </xf>
    <xf numFmtId="169" fontId="6" fillId="0" borderId="3" xfId="0" applyNumberFormat="1" applyFont="1" applyFill="1" applyBorder="1" applyAlignment="1">
      <alignment horizontal="right" vertical="center" wrapText="1"/>
    </xf>
    <xf numFmtId="169" fontId="6" fillId="0" borderId="2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175" fontId="6" fillId="0" borderId="3" xfId="0" applyNumberFormat="1" applyFont="1" applyFill="1" applyBorder="1" applyAlignment="1">
      <alignment horizontal="center" vertical="center" wrapText="1"/>
    </xf>
    <xf numFmtId="175" fontId="6" fillId="0" borderId="3" xfId="0" applyNumberFormat="1" applyFont="1" applyFill="1" applyBorder="1" applyAlignment="1">
      <alignment horizontal="right" vertical="center" wrapText="1"/>
    </xf>
    <xf numFmtId="172" fontId="79" fillId="0" borderId="3" xfId="0" applyNumberFormat="1" applyFont="1" applyFill="1" applyBorder="1" applyAlignment="1">
      <alignment horizontal="center" vertical="center" wrapText="1"/>
    </xf>
    <xf numFmtId="172" fontId="80" fillId="0" borderId="3" xfId="0" applyNumberFormat="1" applyFont="1" applyFill="1" applyBorder="1" applyAlignment="1">
      <alignment horizontal="center" vertical="center" wrapText="1"/>
    </xf>
    <xf numFmtId="169" fontId="79" fillId="0" borderId="19" xfId="0" applyNumberFormat="1" applyFont="1" applyFill="1" applyBorder="1" applyAlignment="1">
      <alignment horizontal="right" vertical="center" wrapText="1"/>
    </xf>
    <xf numFmtId="169" fontId="81" fillId="0" borderId="19" xfId="0" applyNumberFormat="1" applyFont="1" applyFill="1" applyBorder="1" applyAlignment="1">
      <alignment horizontal="right" vertical="center" wrapText="1"/>
    </xf>
    <xf numFmtId="172" fontId="6" fillId="0" borderId="3" xfId="0" applyNumberFormat="1" applyFont="1" applyFill="1" applyBorder="1" applyAlignment="1">
      <alignment horizontal="right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6" fillId="29" borderId="3" xfId="0" applyFont="1" applyFill="1" applyBorder="1" applyAlignment="1">
      <alignment horizontal="left" vertical="center" wrapText="1"/>
    </xf>
    <xf numFmtId="0" fontId="6" fillId="29" borderId="3" xfId="0" quotePrefix="1" applyFont="1" applyFill="1" applyBorder="1" applyAlignment="1">
      <alignment horizontal="center" vertical="center"/>
    </xf>
    <xf numFmtId="168" fontId="6" fillId="29" borderId="3" xfId="308" applyNumberFormat="1" applyFont="1" applyFill="1" applyBorder="1" applyAlignment="1">
      <alignment horizontal="right" vertical="center" wrapText="1"/>
    </xf>
    <xf numFmtId="0" fontId="5" fillId="29" borderId="3" xfId="0" quotePrefix="1" applyFont="1" applyFill="1" applyBorder="1" applyAlignment="1">
      <alignment horizontal="center" vertical="center"/>
    </xf>
    <xf numFmtId="168" fontId="5" fillId="29" borderId="3" xfId="308" applyNumberFormat="1" applyFont="1" applyFill="1" applyBorder="1" applyAlignment="1">
      <alignment horizontal="right" vertical="center" wrapText="1"/>
    </xf>
    <xf numFmtId="0" fontId="5" fillId="30" borderId="3" xfId="249" applyFont="1" applyFill="1" applyBorder="1" applyAlignment="1">
      <alignment horizontal="left" vertical="center" wrapText="1"/>
    </xf>
    <xf numFmtId="172" fontId="5" fillId="30" borderId="3" xfId="0" applyNumberFormat="1" applyFont="1" applyFill="1" applyBorder="1" applyAlignment="1">
      <alignment horizontal="center" vertical="center" wrapText="1"/>
    </xf>
    <xf numFmtId="168" fontId="5" fillId="30" borderId="3" xfId="308" applyNumberFormat="1" applyFont="1" applyFill="1" applyBorder="1" applyAlignment="1">
      <alignment horizontal="right" vertical="center" wrapText="1"/>
    </xf>
    <xf numFmtId="0" fontId="5" fillId="29" borderId="3" xfId="249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5" fillId="29" borderId="3" xfId="249" applyFont="1" applyFill="1" applyBorder="1" applyAlignment="1">
      <alignment horizontal="center" vertical="center"/>
    </xf>
    <xf numFmtId="0" fontId="5" fillId="0" borderId="14" xfId="249" applyFont="1" applyFill="1" applyBorder="1" applyAlignment="1">
      <alignment horizontal="left" vertical="center" wrapText="1"/>
    </xf>
    <xf numFmtId="0" fontId="5" fillId="30" borderId="19" xfId="0" applyFont="1" applyFill="1" applyBorder="1" applyAlignment="1">
      <alignment horizontal="left" vertical="center" wrapText="1"/>
    </xf>
    <xf numFmtId="0" fontId="5" fillId="30" borderId="19" xfId="0" quotePrefix="1" applyFont="1" applyFill="1" applyBorder="1" applyAlignment="1">
      <alignment horizontal="center" vertical="center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applyFont="1" applyFill="1" applyBorder="1" applyAlignment="1">
      <alignment horizontal="left" vertical="center" wrapText="1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14" xfId="249" applyFont="1" applyFill="1" applyBorder="1" applyAlignment="1">
      <alignment horizontal="left" vertical="center" wrapText="1"/>
    </xf>
    <xf numFmtId="0" fontId="5" fillId="30" borderId="17" xfId="249" applyFont="1" applyFill="1" applyBorder="1" applyAlignment="1">
      <alignment horizontal="left" vertical="center" wrapText="1"/>
    </xf>
    <xf numFmtId="168" fontId="6" fillId="30" borderId="3" xfId="308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2" fontId="79" fillId="0" borderId="3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0" fontId="5" fillId="30" borderId="3" xfId="183" applyFont="1" applyFill="1" applyBorder="1" applyAlignment="1">
      <alignment horizontal="left" vertical="center" wrapText="1"/>
      <protection locked="0"/>
    </xf>
    <xf numFmtId="0" fontId="6" fillId="30" borderId="3" xfId="0" applyFont="1" applyFill="1" applyBorder="1" applyAlignment="1">
      <alignment horizontal="center" vertical="center" wrapText="1"/>
    </xf>
    <xf numFmtId="169" fontId="5" fillId="30" borderId="19" xfId="0" applyNumberFormat="1" applyFont="1" applyFill="1" applyBorder="1" applyAlignment="1">
      <alignment horizontal="right" vertical="center" wrapText="1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6" fillId="30" borderId="14" xfId="0" applyFont="1" applyFill="1" applyBorder="1" applyAlignment="1">
      <alignment horizontal="center" vertical="center" wrapText="1"/>
    </xf>
    <xf numFmtId="0" fontId="6" fillId="30" borderId="3" xfId="0" quotePrefix="1" applyFont="1" applyFill="1" applyBorder="1" applyAlignment="1">
      <alignment horizontal="center" vertical="center"/>
    </xf>
    <xf numFmtId="0" fontId="6" fillId="30" borderId="3" xfId="0" applyFont="1" applyFill="1" applyBorder="1" applyAlignment="1">
      <alignment horizontal="center" vertical="center"/>
    </xf>
    <xf numFmtId="0" fontId="5" fillId="30" borderId="19" xfId="0" applyFont="1" applyFill="1" applyBorder="1" applyAlignment="1" applyProtection="1">
      <alignment horizontal="left" vertical="center" wrapText="1"/>
      <protection locked="0"/>
    </xf>
    <xf numFmtId="0" fontId="6" fillId="30" borderId="19" xfId="0" quotePrefix="1" applyNumberFormat="1" applyFont="1" applyFill="1" applyBorder="1" applyAlignment="1">
      <alignment horizontal="center" vertical="center"/>
    </xf>
    <xf numFmtId="168" fontId="79" fillId="0" borderId="3" xfId="308" applyNumberFormat="1" applyFont="1" applyFill="1" applyBorder="1" applyAlignment="1">
      <alignment horizontal="right" vertical="center" wrapText="1"/>
    </xf>
    <xf numFmtId="168" fontId="81" fillId="0" borderId="3" xfId="308" applyNumberFormat="1" applyFont="1" applyFill="1" applyBorder="1" applyAlignment="1">
      <alignment horizontal="right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right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right" vertical="center" wrapText="1"/>
    </xf>
    <xf numFmtId="178" fontId="5" fillId="0" borderId="17" xfId="249" applyNumberFormat="1" applyFont="1" applyFill="1" applyBorder="1" applyAlignment="1">
      <alignment horizontal="left" vertical="center" wrapText="1"/>
    </xf>
    <xf numFmtId="178" fontId="5" fillId="0" borderId="17" xfId="249" applyNumberFormat="1" applyFont="1" applyFill="1" applyBorder="1" applyAlignment="1">
      <alignment horizontal="right" vertical="center" wrapText="1"/>
    </xf>
    <xf numFmtId="178" fontId="5" fillId="30" borderId="19" xfId="0" applyNumberFormat="1" applyFont="1" applyFill="1" applyBorder="1" applyAlignment="1">
      <alignment horizontal="center" vertical="center" wrapText="1"/>
    </xf>
    <xf numFmtId="178" fontId="6" fillId="0" borderId="0" xfId="249" applyNumberFormat="1" applyFont="1" applyFill="1" applyBorder="1" applyAlignment="1">
      <alignment horizontal="center" vertical="center"/>
    </xf>
    <xf numFmtId="180" fontId="5" fillId="0" borderId="0" xfId="0" quotePrefix="1" applyNumberFormat="1" applyFont="1" applyFill="1" applyBorder="1" applyAlignment="1">
      <alignment horizontal="center"/>
    </xf>
    <xf numFmtId="0" fontId="5" fillId="0" borderId="38" xfId="240" applyFont="1" applyFill="1" applyBorder="1" applyAlignment="1">
      <alignment horizontal="center" vertical="center" wrapText="1"/>
    </xf>
    <xf numFmtId="3" fontId="6" fillId="29" borderId="3" xfId="0" applyNumberFormat="1" applyFont="1" applyFill="1" applyBorder="1" applyAlignment="1">
      <alignment horizontal="center" vertical="center" wrapText="1"/>
    </xf>
    <xf numFmtId="169" fontId="6" fillId="29" borderId="3" xfId="0" applyNumberFormat="1" applyFont="1" applyFill="1" applyBorder="1" applyAlignment="1">
      <alignment horizontal="center" vertical="center" wrapText="1"/>
    </xf>
    <xf numFmtId="9" fontId="6" fillId="29" borderId="3" xfId="308" applyFont="1" applyFill="1" applyBorder="1" applyAlignment="1">
      <alignment horizontal="center" vertical="center" wrapText="1"/>
    </xf>
    <xf numFmtId="9" fontId="6" fillId="0" borderId="3" xfId="308" applyFont="1" applyFill="1" applyBorder="1" applyAlignment="1">
      <alignment horizontal="center" vertical="center" wrapText="1"/>
    </xf>
    <xf numFmtId="9" fontId="6" fillId="0" borderId="3" xfId="308" applyFont="1" applyFill="1" applyBorder="1" applyAlignment="1">
      <alignment horizontal="right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9" fontId="5" fillId="0" borderId="3" xfId="308" applyFont="1" applyFill="1" applyBorder="1" applyAlignment="1">
      <alignment horizontal="center" vertical="center" wrapText="1"/>
    </xf>
    <xf numFmtId="0" fontId="6" fillId="30" borderId="3" xfId="0" applyFont="1" applyFill="1" applyBorder="1" applyAlignment="1">
      <alignment horizontal="left" vertical="center" wrapText="1"/>
    </xf>
    <xf numFmtId="169" fontId="6" fillId="0" borderId="15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vertical="center"/>
    </xf>
    <xf numFmtId="169" fontId="6" fillId="0" borderId="15" xfId="0" applyNumberFormat="1" applyFont="1" applyFill="1" applyBorder="1" applyAlignment="1">
      <alignment vertical="center" wrapText="1"/>
    </xf>
    <xf numFmtId="169" fontId="5" fillId="0" borderId="17" xfId="249" applyNumberFormat="1" applyFont="1" applyFill="1" applyBorder="1" applyAlignment="1">
      <alignment vertical="center" wrapText="1"/>
    </xf>
    <xf numFmtId="169" fontId="5" fillId="3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79" fillId="0" borderId="3" xfId="0" applyNumberFormat="1" applyFont="1" applyFill="1" applyBorder="1" applyAlignment="1">
      <alignment vertical="center" wrapText="1"/>
    </xf>
    <xf numFmtId="169" fontId="5" fillId="0" borderId="3" xfId="0" applyNumberFormat="1" applyFont="1" applyFill="1" applyBorder="1" applyAlignment="1">
      <alignment vertical="center" wrapText="1"/>
    </xf>
    <xf numFmtId="169" fontId="6" fillId="29" borderId="3" xfId="0" applyNumberFormat="1" applyFont="1" applyFill="1" applyBorder="1" applyAlignment="1">
      <alignment vertical="center" wrapText="1"/>
    </xf>
    <xf numFmtId="169" fontId="6" fillId="30" borderId="3" xfId="0" applyNumberFormat="1" applyFont="1" applyFill="1" applyBorder="1" applyAlignment="1">
      <alignment vertical="center" wrapText="1"/>
    </xf>
    <xf numFmtId="169" fontId="5" fillId="0" borderId="0" xfId="0" quotePrefix="1" applyNumberFormat="1" applyFont="1" applyFill="1" applyBorder="1" applyAlignment="1">
      <alignment vertical="center"/>
    </xf>
    <xf numFmtId="169" fontId="6" fillId="0" borderId="15" xfId="0" applyNumberFormat="1" applyFont="1" applyFill="1" applyBorder="1" applyAlignment="1">
      <alignment horizontal="right" vertical="center" wrapText="1"/>
    </xf>
    <xf numFmtId="169" fontId="5" fillId="29" borderId="3" xfId="0" applyNumberFormat="1" applyFont="1" applyFill="1" applyBorder="1" applyAlignment="1">
      <alignment horizontal="right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169" fontId="6" fillId="0" borderId="0" xfId="249" applyNumberFormat="1" applyFont="1" applyFill="1" applyBorder="1" applyAlignment="1">
      <alignment horizontal="right" vertical="center"/>
    </xf>
    <xf numFmtId="169" fontId="6" fillId="0" borderId="3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5" fillId="0" borderId="0" xfId="0" quotePrefix="1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168" fontId="74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 vertical="center"/>
    </xf>
    <xf numFmtId="179" fontId="6" fillId="0" borderId="3" xfId="0" applyNumberFormat="1" applyFont="1" applyFill="1" applyBorder="1" applyAlignment="1">
      <alignment horizontal="right" vertical="center" wrapText="1"/>
    </xf>
    <xf numFmtId="179" fontId="5" fillId="30" borderId="3" xfId="0" applyNumberFormat="1" applyFont="1" applyFill="1" applyBorder="1" applyAlignment="1">
      <alignment vertical="center" wrapText="1"/>
    </xf>
    <xf numFmtId="179" fontId="5" fillId="30" borderId="3" xfId="308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4" xfId="24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24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5" fontId="5" fillId="0" borderId="3" xfId="308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3" xfId="249" applyNumberFormat="1" applyFont="1" applyFill="1" applyBorder="1" applyAlignment="1">
      <alignment horizontal="right" vertical="center"/>
    </xf>
    <xf numFmtId="181" fontId="5" fillId="0" borderId="0" xfId="0" quotePrefix="1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178" fontId="6" fillId="0" borderId="3" xfId="308" applyNumberFormat="1" applyFont="1" applyFill="1" applyBorder="1" applyAlignment="1">
      <alignment horizontal="right" vertical="center" wrapText="1"/>
    </xf>
    <xf numFmtId="169" fontId="79" fillId="0" borderId="3" xfId="0" applyNumberFormat="1" applyFont="1" applyFill="1" applyBorder="1" applyAlignment="1">
      <alignment horizontal="right" vertical="center" wrapText="1"/>
    </xf>
    <xf numFmtId="178" fontId="79" fillId="0" borderId="3" xfId="308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5" fontId="5" fillId="0" borderId="3" xfId="0" applyNumberFormat="1" applyFont="1" applyFill="1" applyBorder="1" applyAlignment="1">
      <alignment vertical="center" wrapText="1"/>
    </xf>
    <xf numFmtId="181" fontId="6" fillId="0" borderId="0" xfId="249" applyNumberFormat="1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vertical="center"/>
    </xf>
    <xf numFmtId="177" fontId="6" fillId="29" borderId="3" xfId="0" applyNumberFormat="1" applyFont="1" applyFill="1" applyBorder="1" applyAlignment="1">
      <alignment horizontal="center" vertical="center" wrapText="1"/>
    </xf>
    <xf numFmtId="0" fontId="81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9" fontId="8" fillId="0" borderId="3" xfId="0" applyNumberFormat="1" applyFont="1" applyFill="1" applyBorder="1" applyAlignment="1">
      <alignment vertical="center" wrapText="1"/>
    </xf>
    <xf numFmtId="168" fontId="8" fillId="0" borderId="3" xfId="308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249" applyFont="1" applyFill="1" applyBorder="1" applyAlignment="1">
      <alignment horizontal="center" vertical="center"/>
    </xf>
    <xf numFmtId="0" fontId="6" fillId="0" borderId="3" xfId="249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right" vertical="center" wrapText="1"/>
    </xf>
    <xf numFmtId="175" fontId="6" fillId="0" borderId="3" xfId="0" applyNumberFormat="1" applyFont="1" applyFill="1" applyBorder="1" applyAlignment="1">
      <alignment vertical="center" wrapText="1"/>
    </xf>
    <xf numFmtId="175" fontId="5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178" fontId="6" fillId="31" borderId="3" xfId="0" applyNumberFormat="1" applyFont="1" applyFill="1" applyBorder="1" applyAlignment="1">
      <alignment horizontal="center" vertical="center" wrapText="1"/>
    </xf>
    <xf numFmtId="169" fontId="6" fillId="31" borderId="3" xfId="0" applyNumberFormat="1" applyFont="1" applyFill="1" applyBorder="1" applyAlignment="1">
      <alignment horizontal="right" vertical="center" wrapText="1"/>
    </xf>
    <xf numFmtId="178" fontId="6" fillId="31" borderId="3" xfId="0" applyNumberFormat="1" applyFont="1" applyFill="1" applyBorder="1" applyAlignment="1">
      <alignment horizontal="right" vertical="center" wrapText="1"/>
    </xf>
    <xf numFmtId="178" fontId="5" fillId="31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4" fillId="0" borderId="0" xfId="0" applyFont="1" applyFill="1" applyBorder="1" applyAlignment="1">
      <alignment vertical="center"/>
    </xf>
    <xf numFmtId="0" fontId="85" fillId="0" borderId="3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6" fillId="32" borderId="3" xfId="0" quotePrefix="1" applyFont="1" applyFill="1" applyBorder="1" applyAlignment="1">
      <alignment horizontal="center" vertical="center"/>
    </xf>
    <xf numFmtId="178" fontId="6" fillId="31" borderId="19" xfId="0" applyNumberFormat="1" applyFont="1" applyFill="1" applyBorder="1" applyAlignment="1">
      <alignment horizontal="center" vertical="center" wrapText="1"/>
    </xf>
    <xf numFmtId="172" fontId="6" fillId="31" borderId="19" xfId="0" applyNumberFormat="1" applyFont="1" applyFill="1" applyBorder="1" applyAlignment="1">
      <alignment horizontal="center" vertical="center" wrapText="1"/>
    </xf>
    <xf numFmtId="172" fontId="5" fillId="31" borderId="3" xfId="0" applyNumberFormat="1" applyFont="1" applyFill="1" applyBorder="1" applyAlignment="1">
      <alignment horizontal="center" vertical="center" wrapText="1"/>
    </xf>
    <xf numFmtId="178" fontId="6" fillId="31" borderId="20" xfId="0" applyNumberFormat="1" applyFont="1" applyFill="1" applyBorder="1" applyAlignment="1">
      <alignment horizontal="center" vertical="center" wrapText="1"/>
    </xf>
    <xf numFmtId="178" fontId="5" fillId="31" borderId="19" xfId="0" applyNumberFormat="1" applyFont="1" applyFill="1" applyBorder="1" applyAlignment="1">
      <alignment horizontal="center" vertical="center" wrapText="1"/>
    </xf>
    <xf numFmtId="178" fontId="6" fillId="31" borderId="14" xfId="0" applyNumberFormat="1" applyFont="1" applyFill="1" applyBorder="1" applyAlignment="1">
      <alignment horizontal="center" vertical="center" wrapText="1"/>
    </xf>
    <xf numFmtId="178" fontId="6" fillId="31" borderId="15" xfId="0" applyNumberFormat="1" applyFont="1" applyFill="1" applyBorder="1" applyAlignment="1">
      <alignment horizontal="center" vertical="center" wrapText="1"/>
    </xf>
    <xf numFmtId="172" fontId="6" fillId="31" borderId="3" xfId="0" applyNumberFormat="1" applyFont="1" applyFill="1" applyBorder="1" applyAlignment="1">
      <alignment horizontal="center" vertical="center" wrapText="1"/>
    </xf>
    <xf numFmtId="0" fontId="6" fillId="31" borderId="3" xfId="240" applyFont="1" applyFill="1" applyBorder="1" applyAlignment="1">
      <alignment horizontal="center" vertical="center"/>
    </xf>
    <xf numFmtId="169" fontId="6" fillId="31" borderId="3" xfId="240" applyNumberFormat="1" applyFont="1" applyFill="1" applyBorder="1" applyAlignment="1">
      <alignment horizontal="center" vertical="center" wrapText="1"/>
    </xf>
    <xf numFmtId="175" fontId="6" fillId="31" borderId="3" xfId="0" applyNumberFormat="1" applyFont="1" applyFill="1" applyBorder="1" applyAlignment="1">
      <alignment horizontal="right" vertical="center" wrapText="1"/>
    </xf>
    <xf numFmtId="175" fontId="5" fillId="31" borderId="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78" fontId="6" fillId="31" borderId="17" xfId="0" applyNumberFormat="1" applyFont="1" applyFill="1" applyBorder="1" applyAlignment="1">
      <alignment horizontal="center" vertical="center" wrapText="1"/>
    </xf>
    <xf numFmtId="178" fontId="6" fillId="31" borderId="19" xfId="0" applyNumberFormat="1" applyFont="1" applyFill="1" applyBorder="1" applyAlignment="1">
      <alignment horizontal="right" vertical="center" wrapText="1"/>
    </xf>
    <xf numFmtId="178" fontId="5" fillId="31" borderId="3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Border="1" applyAlignment="1">
      <alignment vertical="center"/>
    </xf>
    <xf numFmtId="3" fontId="84" fillId="0" borderId="0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69" fontId="6" fillId="31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 shrinkToFit="1"/>
    </xf>
    <xf numFmtId="3" fontId="6" fillId="31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6" fontId="6" fillId="31" borderId="3" xfId="0" applyNumberFormat="1" applyFont="1" applyFill="1" applyBorder="1" applyAlignment="1">
      <alignment horizontal="center" vertical="center" wrapText="1"/>
    </xf>
    <xf numFmtId="177" fontId="6" fillId="31" borderId="3" xfId="0" applyNumberFormat="1" applyFont="1" applyFill="1" applyBorder="1" applyAlignment="1">
      <alignment horizontal="center" vertical="center" wrapText="1"/>
    </xf>
    <xf numFmtId="176" fontId="6" fillId="31" borderId="3" xfId="0" applyNumberFormat="1" applyFont="1" applyFill="1" applyBorder="1" applyAlignment="1">
      <alignment horizontal="center" vertical="center" wrapText="1"/>
    </xf>
    <xf numFmtId="177" fontId="6" fillId="31" borderId="3" xfId="0" applyNumberFormat="1" applyFont="1" applyFill="1" applyBorder="1" applyAlignment="1">
      <alignment horizontal="center" vertical="center" wrapText="1"/>
    </xf>
    <xf numFmtId="169" fontId="14" fillId="0" borderId="0" xfId="0" applyNumberFormat="1" applyFont="1" applyFill="1"/>
    <xf numFmtId="177" fontId="5" fillId="31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justify" vertical="center"/>
    </xf>
    <xf numFmtId="0" fontId="83" fillId="0" borderId="0" xfId="0" applyFont="1" applyAlignment="1">
      <alignment wrapText="1"/>
    </xf>
    <xf numFmtId="0" fontId="12" fillId="0" borderId="3" xfId="0" applyFont="1" applyFill="1" applyBorder="1" applyAlignment="1">
      <alignment horizontal="left" vertical="center" wrapText="1"/>
    </xf>
    <xf numFmtId="0" fontId="12" fillId="32" borderId="3" xfId="0" applyFont="1" applyFill="1" applyBorder="1" applyAlignment="1">
      <alignment horizontal="left" vertical="center" wrapText="1"/>
    </xf>
    <xf numFmtId="0" fontId="12" fillId="32" borderId="3" xfId="0" applyFont="1" applyFill="1" applyBorder="1" applyAlignment="1">
      <alignment horizontal="left"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0" fontId="12" fillId="32" borderId="3" xfId="0" applyFont="1" applyFill="1" applyBorder="1" applyAlignment="1">
      <alignment horizontal="center" vertical="center" wrapText="1"/>
    </xf>
    <xf numFmtId="0" fontId="83" fillId="32" borderId="3" xfId="0" applyFont="1" applyFill="1" applyBorder="1" applyAlignment="1">
      <alignment horizontal="justify" vertical="center"/>
    </xf>
    <xf numFmtId="0" fontId="12" fillId="32" borderId="3" xfId="0" applyFont="1" applyFill="1" applyBorder="1" applyAlignment="1">
      <alignment horizontal="center" vertical="center"/>
    </xf>
    <xf numFmtId="0" fontId="12" fillId="32" borderId="0" xfId="0" applyFont="1" applyFill="1" applyAlignment="1">
      <alignment wrapText="1"/>
    </xf>
    <xf numFmtId="0" fontId="12" fillId="32" borderId="0" xfId="0" applyFont="1" applyFill="1" applyAlignment="1">
      <alignment horizontal="justify" vertical="center"/>
    </xf>
    <xf numFmtId="0" fontId="6" fillId="32" borderId="0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/>
    </xf>
    <xf numFmtId="178" fontId="6" fillId="32" borderId="3" xfId="0" applyNumberFormat="1" applyFont="1" applyFill="1" applyBorder="1" applyAlignment="1">
      <alignment horizontal="center" vertical="center" wrapText="1"/>
    </xf>
    <xf numFmtId="178" fontId="6" fillId="32" borderId="3" xfId="0" applyNumberFormat="1" applyFont="1" applyFill="1" applyBorder="1" applyAlignment="1">
      <alignment horizontal="right" vertical="center" wrapText="1"/>
    </xf>
    <xf numFmtId="178" fontId="5" fillId="32" borderId="3" xfId="0" applyNumberFormat="1" applyFont="1" applyFill="1" applyBorder="1" applyAlignment="1">
      <alignment horizontal="center" vertical="center" wrapText="1"/>
    </xf>
    <xf numFmtId="178" fontId="5" fillId="32" borderId="3" xfId="0" applyNumberFormat="1" applyFont="1" applyFill="1" applyBorder="1" applyAlignment="1">
      <alignment horizontal="right" vertical="center" wrapText="1"/>
    </xf>
    <xf numFmtId="178" fontId="6" fillId="32" borderId="3" xfId="0" applyNumberFormat="1" applyFont="1" applyFill="1" applyBorder="1" applyAlignment="1">
      <alignment vertical="center" wrapText="1"/>
    </xf>
    <xf numFmtId="172" fontId="6" fillId="32" borderId="3" xfId="0" applyNumberFormat="1" applyFont="1" applyFill="1" applyBorder="1" applyAlignment="1">
      <alignment horizontal="center" vertical="center" wrapText="1"/>
    </xf>
    <xf numFmtId="0" fontId="5" fillId="32" borderId="0" xfId="0" quotePrefix="1" applyFont="1" applyFill="1" applyBorder="1" applyAlignment="1">
      <alignment horizontal="center"/>
    </xf>
    <xf numFmtId="178" fontId="5" fillId="32" borderId="0" xfId="0" quotePrefix="1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178" fontId="6" fillId="29" borderId="3" xfId="0" applyNumberFormat="1" applyFont="1" applyFill="1" applyBorder="1" applyAlignment="1">
      <alignment horizontal="center" vertical="center" wrapText="1"/>
    </xf>
    <xf numFmtId="169" fontId="6" fillId="29" borderId="3" xfId="0" applyNumberFormat="1" applyFont="1" applyFill="1" applyBorder="1" applyAlignment="1">
      <alignment horizontal="right" vertical="center" wrapText="1"/>
    </xf>
    <xf numFmtId="178" fontId="6" fillId="29" borderId="3" xfId="0" applyNumberFormat="1" applyFont="1" applyFill="1" applyBorder="1" applyAlignment="1">
      <alignment horizontal="right" vertical="center" wrapText="1"/>
    </xf>
    <xf numFmtId="0" fontId="6" fillId="29" borderId="3" xfId="0" applyFont="1" applyFill="1" applyBorder="1" applyAlignment="1">
      <alignment horizontal="left" vertical="center" wrapText="1" shrinkToFit="1"/>
    </xf>
    <xf numFmtId="0" fontId="5" fillId="29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249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 wrapText="1"/>
    </xf>
    <xf numFmtId="169" fontId="6" fillId="0" borderId="0" xfId="0" quotePrefix="1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240" applyNumberFormat="1" applyFont="1" applyFill="1" applyBorder="1" applyAlignment="1">
      <alignment horizontal="center" vertical="center" wrapText="1"/>
    </xf>
    <xf numFmtId="0" fontId="5" fillId="0" borderId="30" xfId="240" applyNumberFormat="1" applyFont="1" applyFill="1" applyBorder="1" applyAlignment="1">
      <alignment horizontal="center" vertical="center" wrapText="1"/>
    </xf>
    <xf numFmtId="0" fontId="5" fillId="0" borderId="31" xfId="24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/>
    </xf>
    <xf numFmtId="169" fontId="6" fillId="32" borderId="0" xfId="0" applyNumberFormat="1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left" vertical="center" wrapText="1"/>
    </xf>
    <xf numFmtId="0" fontId="5" fillId="29" borderId="17" xfId="0" applyFont="1" applyFill="1" applyBorder="1" applyAlignment="1">
      <alignment horizontal="left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0" xfId="249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3" xfId="249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left" vertical="center" wrapText="1"/>
    </xf>
    <xf numFmtId="0" fontId="6" fillId="0" borderId="3" xfId="2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14" xfId="249" applyFont="1" applyFill="1" applyBorder="1" applyAlignment="1">
      <alignment horizontal="center" vertical="center"/>
    </xf>
    <xf numFmtId="0" fontId="6" fillId="0" borderId="17" xfId="249" applyFont="1" applyFill="1" applyBorder="1" applyAlignment="1">
      <alignment horizontal="center" vertical="center"/>
    </xf>
    <xf numFmtId="0" fontId="6" fillId="0" borderId="16" xfId="249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240" applyNumberFormat="1" applyFont="1" applyFill="1" applyBorder="1" applyAlignment="1">
      <alignment horizontal="center" vertical="center" wrapText="1"/>
    </xf>
    <xf numFmtId="0" fontId="6" fillId="0" borderId="15" xfId="240" applyNumberFormat="1" applyFont="1" applyFill="1" applyBorder="1" applyAlignment="1">
      <alignment horizontal="center" vertical="center" wrapText="1"/>
    </xf>
    <xf numFmtId="0" fontId="6" fillId="0" borderId="19" xfId="24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177" fontId="5" fillId="31" borderId="14" xfId="0" applyNumberFormat="1" applyFont="1" applyFill="1" applyBorder="1" applyAlignment="1">
      <alignment horizontal="center" vertical="center" wrapText="1"/>
    </xf>
    <xf numFmtId="177" fontId="5" fillId="31" borderId="17" xfId="0" applyNumberFormat="1" applyFont="1" applyFill="1" applyBorder="1" applyAlignment="1">
      <alignment horizontal="center" vertical="center" wrapText="1"/>
    </xf>
    <xf numFmtId="177" fontId="5" fillId="31" borderId="16" xfId="0" applyNumberFormat="1" applyFont="1" applyFill="1" applyBorder="1" applyAlignment="1">
      <alignment horizontal="center" vertical="center" wrapText="1"/>
    </xf>
    <xf numFmtId="177" fontId="6" fillId="31" borderId="14" xfId="0" applyNumberFormat="1" applyFont="1" applyFill="1" applyBorder="1" applyAlignment="1">
      <alignment horizontal="center" vertical="center" wrapText="1"/>
    </xf>
    <xf numFmtId="177" fontId="6" fillId="31" borderId="17" xfId="0" applyNumberFormat="1" applyFont="1" applyFill="1" applyBorder="1" applyAlignment="1">
      <alignment horizontal="center" vertical="center" wrapText="1"/>
    </xf>
    <xf numFmtId="177" fontId="6" fillId="31" borderId="1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6" fillId="0" borderId="14" xfId="308" applyNumberFormat="1" applyFont="1" applyFill="1" applyBorder="1" applyAlignment="1">
      <alignment horizontal="right" vertical="center" wrapText="1"/>
    </xf>
    <xf numFmtId="177" fontId="6" fillId="0" borderId="16" xfId="308" applyNumberFormat="1" applyFont="1" applyFill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6" fillId="31" borderId="14" xfId="308" applyNumberFormat="1" applyFont="1" applyFill="1" applyBorder="1" applyAlignment="1">
      <alignment horizontal="right" vertical="center" wrapText="1"/>
    </xf>
    <xf numFmtId="177" fontId="6" fillId="31" borderId="16" xfId="308" applyNumberFormat="1" applyFont="1" applyFill="1" applyBorder="1" applyAlignment="1">
      <alignment horizontal="right" vertical="center" wrapText="1"/>
    </xf>
    <xf numFmtId="176" fontId="6" fillId="31" borderId="3" xfId="0" applyNumberFormat="1" applyFont="1" applyFill="1" applyBorder="1" applyAlignment="1">
      <alignment horizontal="center" vertical="center" wrapText="1"/>
    </xf>
    <xf numFmtId="177" fontId="5" fillId="31" borderId="14" xfId="308" applyNumberFormat="1" applyFont="1" applyFill="1" applyBorder="1" applyAlignment="1">
      <alignment horizontal="right" vertical="center" wrapText="1"/>
    </xf>
    <xf numFmtId="177" fontId="5" fillId="31" borderId="16" xfId="308" applyNumberFormat="1" applyFont="1" applyFill="1" applyBorder="1" applyAlignment="1">
      <alignment horizontal="right" vertical="center" wrapText="1"/>
    </xf>
    <xf numFmtId="175" fontId="6" fillId="31" borderId="14" xfId="0" applyNumberFormat="1" applyFont="1" applyFill="1" applyBorder="1" applyAlignment="1">
      <alignment horizontal="right" vertical="center" wrapText="1"/>
    </xf>
    <xf numFmtId="175" fontId="6" fillId="31" borderId="17" xfId="0" applyNumberFormat="1" applyFont="1" applyFill="1" applyBorder="1" applyAlignment="1">
      <alignment horizontal="right" vertical="center" wrapText="1"/>
    </xf>
    <xf numFmtId="175" fontId="6" fillId="31" borderId="16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6" fillId="31" borderId="14" xfId="0" applyNumberFormat="1" applyFont="1" applyFill="1" applyBorder="1" applyAlignment="1">
      <alignment horizontal="center" vertical="center" wrapText="1"/>
    </xf>
    <xf numFmtId="176" fontId="6" fillId="31" borderId="17" xfId="0" applyNumberFormat="1" applyFont="1" applyFill="1" applyBorder="1" applyAlignment="1">
      <alignment horizontal="center" vertical="center" wrapText="1"/>
    </xf>
    <xf numFmtId="176" fontId="6" fillId="31" borderId="16" xfId="0" applyNumberFormat="1" applyFont="1" applyFill="1" applyBorder="1" applyAlignment="1">
      <alignment horizontal="center" vertical="center" wrapText="1"/>
    </xf>
    <xf numFmtId="176" fontId="5" fillId="31" borderId="3" xfId="0" applyNumberFormat="1" applyFont="1" applyFill="1" applyBorder="1" applyAlignment="1">
      <alignment horizontal="center" vertical="center" wrapText="1"/>
    </xf>
    <xf numFmtId="177" fontId="5" fillId="0" borderId="14" xfId="308" applyNumberFormat="1" applyFont="1" applyFill="1" applyBorder="1" applyAlignment="1">
      <alignment horizontal="right" vertical="center" wrapText="1"/>
    </xf>
    <xf numFmtId="177" fontId="5" fillId="0" borderId="16" xfId="308" applyNumberFormat="1" applyFont="1" applyFill="1" applyBorder="1" applyAlignment="1">
      <alignment horizontal="right" vertical="center" wrapText="1"/>
    </xf>
    <xf numFmtId="176" fontId="5" fillId="31" borderId="14" xfId="0" applyNumberFormat="1" applyFont="1" applyFill="1" applyBorder="1" applyAlignment="1">
      <alignment horizontal="center" vertical="center" wrapText="1"/>
    </xf>
    <xf numFmtId="176" fontId="5" fillId="31" borderId="17" xfId="0" applyNumberFormat="1" applyFont="1" applyFill="1" applyBorder="1" applyAlignment="1">
      <alignment horizontal="center" vertical="center" wrapText="1"/>
    </xf>
    <xf numFmtId="176" fontId="5" fillId="31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 shrinkToFit="1"/>
    </xf>
    <xf numFmtId="0" fontId="82" fillId="31" borderId="14" xfId="0" applyNumberFormat="1" applyFont="1" applyFill="1" applyBorder="1" applyAlignment="1">
      <alignment horizontal="center" vertical="center" wrapText="1"/>
    </xf>
    <xf numFmtId="0" fontId="82" fillId="31" borderId="16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177" fontId="6" fillId="31" borderId="3" xfId="0" applyNumberFormat="1" applyFont="1" applyFill="1" applyBorder="1" applyAlignment="1">
      <alignment horizontal="center" vertical="center" wrapText="1"/>
    </xf>
    <xf numFmtId="0" fontId="6" fillId="31" borderId="14" xfId="0" applyNumberFormat="1" applyFont="1" applyFill="1" applyBorder="1" applyAlignment="1">
      <alignment horizontal="left" vertical="center" wrapText="1"/>
    </xf>
    <xf numFmtId="0" fontId="6" fillId="31" borderId="17" xfId="0" applyNumberFormat="1" applyFont="1" applyFill="1" applyBorder="1" applyAlignment="1">
      <alignment horizontal="left" vertical="center" wrapText="1"/>
    </xf>
    <xf numFmtId="0" fontId="6" fillId="31" borderId="16" xfId="0" applyNumberFormat="1" applyFont="1" applyFill="1" applyBorder="1" applyAlignment="1">
      <alignment horizontal="left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5" fillId="29" borderId="39" xfId="240" applyNumberFormat="1" applyFont="1" applyFill="1" applyBorder="1" applyAlignment="1">
      <alignment horizontal="left" vertical="center" wrapText="1"/>
    </xf>
    <xf numFmtId="0" fontId="5" fillId="29" borderId="17" xfId="240" applyNumberFormat="1" applyFont="1" applyFill="1" applyBorder="1" applyAlignment="1">
      <alignment horizontal="left" vertical="center" wrapText="1"/>
    </xf>
    <xf numFmtId="0" fontId="5" fillId="29" borderId="16" xfId="24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3" fontId="12" fillId="0" borderId="14" xfId="0" applyNumberFormat="1" applyFont="1" applyFill="1" applyBorder="1" applyAlignment="1">
      <alignment horizontal="center" vertical="center" wrapText="1" shrinkToFit="1"/>
    </xf>
    <xf numFmtId="3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 shrinkToFit="1"/>
    </xf>
    <xf numFmtId="0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 shrinkToFit="1"/>
    </xf>
    <xf numFmtId="0" fontId="5" fillId="29" borderId="39" xfId="240" applyFont="1" applyFill="1" applyBorder="1" applyAlignment="1">
      <alignment horizontal="left" vertical="center" wrapText="1"/>
    </xf>
    <xf numFmtId="0" fontId="5" fillId="29" borderId="17" xfId="240" applyFont="1" applyFill="1" applyBorder="1" applyAlignment="1">
      <alignment horizontal="left" vertical="center" wrapText="1"/>
    </xf>
    <xf numFmtId="0" fontId="5" fillId="29" borderId="16" xfId="24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 shrinkToFit="1"/>
    </xf>
    <xf numFmtId="49" fontId="6" fillId="0" borderId="17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6" fillId="0" borderId="17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left" vertical="center" wrapText="1" shrinkToFit="1"/>
    </xf>
    <xf numFmtId="0" fontId="82" fillId="0" borderId="14" xfId="0" applyNumberFormat="1" applyFont="1" applyFill="1" applyBorder="1" applyAlignment="1">
      <alignment horizontal="center" vertical="center" wrapText="1"/>
    </xf>
    <xf numFmtId="0" fontId="82" fillId="0" borderId="16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168" fontId="74" fillId="0" borderId="0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left" vertical="center" wrapText="1"/>
    </xf>
  </cellXfs>
  <cellStyles count="398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cel Built-in Excel Built-in Обычный_прочие 08 финпл 13.04.07" xfId="103"/>
    <cellStyle name="Explanatory Text" xfId="104"/>
    <cellStyle name="FS10" xfId="105"/>
    <cellStyle name="Good" xfId="106"/>
    <cellStyle name="Heading 1" xfId="107"/>
    <cellStyle name="Heading 2" xfId="108"/>
    <cellStyle name="Heading 3" xfId="109"/>
    <cellStyle name="Heading 4" xfId="110"/>
    <cellStyle name="Hyperlink 2" xfId="111"/>
    <cellStyle name="Input" xfId="112"/>
    <cellStyle name="Level0" xfId="113"/>
    <cellStyle name="Level0 10" xfId="114"/>
    <cellStyle name="Level0 2" xfId="115"/>
    <cellStyle name="Level0 2 2" xfId="116"/>
    <cellStyle name="Level0 3" xfId="117"/>
    <cellStyle name="Level0 3 2" xfId="118"/>
    <cellStyle name="Level0 4" xfId="119"/>
    <cellStyle name="Level0 4 2" xfId="120"/>
    <cellStyle name="Level0 5" xfId="121"/>
    <cellStyle name="Level0 6" xfId="122"/>
    <cellStyle name="Level0 7" xfId="123"/>
    <cellStyle name="Level0 7 2" xfId="124"/>
    <cellStyle name="Level0 7 3" xfId="125"/>
    <cellStyle name="Level0 8" xfId="126"/>
    <cellStyle name="Level0 8 2" xfId="127"/>
    <cellStyle name="Level0 8 3" xfId="128"/>
    <cellStyle name="Level0 9" xfId="129"/>
    <cellStyle name="Level0 9 2" xfId="130"/>
    <cellStyle name="Level0 9 3" xfId="131"/>
    <cellStyle name="Level0_Zvit rux-koshtiv 2010 Департамент " xfId="132"/>
    <cellStyle name="Level1" xfId="133"/>
    <cellStyle name="Level1 2" xfId="134"/>
    <cellStyle name="Level1-Numbers" xfId="135"/>
    <cellStyle name="Level1-Numbers 2" xfId="136"/>
    <cellStyle name="Level1-Numbers-Hide" xfId="137"/>
    <cellStyle name="Level2" xfId="138"/>
    <cellStyle name="Level2 2" xfId="139"/>
    <cellStyle name="Level2-Hide" xfId="140"/>
    <cellStyle name="Level2-Hide 2" xfId="141"/>
    <cellStyle name="Level2-Numbers" xfId="142"/>
    <cellStyle name="Level2-Numbers 2" xfId="143"/>
    <cellStyle name="Level2-Numbers-Hide" xfId="144"/>
    <cellStyle name="Level3" xfId="145"/>
    <cellStyle name="Level3 2" xfId="146"/>
    <cellStyle name="Level3 3" xfId="147"/>
    <cellStyle name="Level3_План департамент_2010_1207" xfId="148"/>
    <cellStyle name="Level3-Hide" xfId="149"/>
    <cellStyle name="Level3-Hide 2" xfId="150"/>
    <cellStyle name="Level3-Numbers" xfId="151"/>
    <cellStyle name="Level3-Numbers 2" xfId="152"/>
    <cellStyle name="Level3-Numbers 3" xfId="153"/>
    <cellStyle name="Level3-Numbers_План департамент_2010_1207" xfId="154"/>
    <cellStyle name="Level3-Numbers-Hide" xfId="155"/>
    <cellStyle name="Level4" xfId="156"/>
    <cellStyle name="Level4 2" xfId="157"/>
    <cellStyle name="Level4-Hide" xfId="158"/>
    <cellStyle name="Level4-Hide 2" xfId="159"/>
    <cellStyle name="Level4-Numbers" xfId="160"/>
    <cellStyle name="Level4-Numbers 2" xfId="161"/>
    <cellStyle name="Level4-Numbers-Hide" xfId="162"/>
    <cellStyle name="Level5" xfId="163"/>
    <cellStyle name="Level5 2" xfId="164"/>
    <cellStyle name="Level5-Hide" xfId="165"/>
    <cellStyle name="Level5-Hide 2" xfId="166"/>
    <cellStyle name="Level5-Numbers" xfId="167"/>
    <cellStyle name="Level5-Numbers 2" xfId="168"/>
    <cellStyle name="Level5-Numbers-Hide" xfId="169"/>
    <cellStyle name="Level6" xfId="170"/>
    <cellStyle name="Level6 2" xfId="171"/>
    <cellStyle name="Level6-Hide" xfId="172"/>
    <cellStyle name="Level6-Hide 2" xfId="173"/>
    <cellStyle name="Level6-Numbers" xfId="174"/>
    <cellStyle name="Level6-Numbers 2" xfId="175"/>
    <cellStyle name="Level7" xfId="176"/>
    <cellStyle name="Level7-Hide" xfId="177"/>
    <cellStyle name="Level7-Numbers" xfId="178"/>
    <cellStyle name="Linked Cell" xfId="179"/>
    <cellStyle name="Neutral" xfId="180"/>
    <cellStyle name="Normal 2" xfId="181"/>
    <cellStyle name="Normal_2005_03_15-Финансовый_БГ" xfId="182"/>
    <cellStyle name="Normal_GSE DCF_Model_31_07_09 final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ableStyleLight1" xfId="191"/>
    <cellStyle name="Title" xfId="192"/>
    <cellStyle name="Total" xfId="193"/>
    <cellStyle name="Warning Text" xfId="194"/>
    <cellStyle name="Акцент1 2" xfId="195"/>
    <cellStyle name="Акцент1 3" xfId="196"/>
    <cellStyle name="Акцент2 2" xfId="197"/>
    <cellStyle name="Акцент2 3" xfId="198"/>
    <cellStyle name="Акцент3 2" xfId="199"/>
    <cellStyle name="Акцент3 3" xfId="200"/>
    <cellStyle name="Акцент4 2" xfId="201"/>
    <cellStyle name="Акцент4 3" xfId="202"/>
    <cellStyle name="Акцент5 2" xfId="203"/>
    <cellStyle name="Акцент5 3" xfId="204"/>
    <cellStyle name="Акцент6 2" xfId="205"/>
    <cellStyle name="Акцент6 3" xfId="206"/>
    <cellStyle name="Ввод  2" xfId="207"/>
    <cellStyle name="Ввод  3" xfId="208"/>
    <cellStyle name="Вывод 2" xfId="209"/>
    <cellStyle name="Вывод 3" xfId="210"/>
    <cellStyle name="Вычисление 2" xfId="211"/>
    <cellStyle name="Вычисление 3" xfId="212"/>
    <cellStyle name="Денежный 2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239"/>
    <cellStyle name="Обычный 19 2" xfId="371"/>
    <cellStyle name="Обычный 2" xfId="240"/>
    <cellStyle name="Обычный 2 10" xfId="241"/>
    <cellStyle name="Обычный 2 11" xfId="242"/>
    <cellStyle name="Обычный 2 12" xfId="243"/>
    <cellStyle name="Обычный 2 13" xfId="244"/>
    <cellStyle name="Обычный 2 14" xfId="245"/>
    <cellStyle name="Обычный 2 15" xfId="246"/>
    <cellStyle name="Обычный 2 16" xfId="247"/>
    <cellStyle name="Обычный 2 17" xfId="248"/>
    <cellStyle name="Обычный 2 17 2" xfId="372"/>
    <cellStyle name="Обычный 2 2" xfId="249"/>
    <cellStyle name="Обычный 2 2 2" xfId="250"/>
    <cellStyle name="Обычный 2 2 3" xfId="251"/>
    <cellStyle name="Обычный 2 2 3 2" xfId="252"/>
    <cellStyle name="Обычный 2 2 3 2 2" xfId="373"/>
    <cellStyle name="Обычный 2 2 3 3" xfId="374"/>
    <cellStyle name="Обычный 2 2 4" xfId="253"/>
    <cellStyle name="Обычный 2 2 4 2" xfId="375"/>
    <cellStyle name="Обычный 2 2_Расшифровка прочих" xfId="254"/>
    <cellStyle name="Обычный 2 3" xfId="255"/>
    <cellStyle name="Обычный 2 3 2" xfId="256"/>
    <cellStyle name="Обычный 2 3 2 2" xfId="376"/>
    <cellStyle name="Обычный 2 4" xfId="257"/>
    <cellStyle name="Обычный 2 5" xfId="258"/>
    <cellStyle name="Обычный 2 6" xfId="259"/>
    <cellStyle name="Обычный 2 7" xfId="260"/>
    <cellStyle name="Обычный 2 8" xfId="261"/>
    <cellStyle name="Обычный 2 9" xfId="262"/>
    <cellStyle name="Обычный 2_2604-2010" xfId="263"/>
    <cellStyle name="Обычный 20" xfId="264"/>
    <cellStyle name="Обычный 21" xfId="265"/>
    <cellStyle name="Обычный 22" xfId="266"/>
    <cellStyle name="Обычный 23" xfId="377"/>
    <cellStyle name="Обычный 23 2" xfId="378"/>
    <cellStyle name="Обычный 3" xfId="267"/>
    <cellStyle name="Обычный 3 10" xfId="268"/>
    <cellStyle name="Обычный 3 10 2" xfId="379"/>
    <cellStyle name="Обычный 3 11" xfId="269"/>
    <cellStyle name="Обычный 3 11 2" xfId="380"/>
    <cellStyle name="Обычный 3 12" xfId="270"/>
    <cellStyle name="Обычный 3 12 2" xfId="381"/>
    <cellStyle name="Обычный 3 13" xfId="271"/>
    <cellStyle name="Обычный 3 13 2" xfId="382"/>
    <cellStyle name="Обычный 3 14" xfId="272"/>
    <cellStyle name="Обычный 3 15" xfId="273"/>
    <cellStyle name="Обычный 3 2" xfId="274"/>
    <cellStyle name="Обычный 3 2 2" xfId="383"/>
    <cellStyle name="Обычный 3 3" xfId="275"/>
    <cellStyle name="Обычный 3 3 2" xfId="384"/>
    <cellStyle name="Обычный 3 4" xfId="276"/>
    <cellStyle name="Обычный 3 4 2" xfId="385"/>
    <cellStyle name="Обычный 3 5" xfId="277"/>
    <cellStyle name="Обычный 3 5 2" xfId="386"/>
    <cellStyle name="Обычный 3 6" xfId="278"/>
    <cellStyle name="Обычный 3 6 2" xfId="387"/>
    <cellStyle name="Обычный 3 7" xfId="279"/>
    <cellStyle name="Обычный 3 7 2" xfId="388"/>
    <cellStyle name="Обычный 3 8" xfId="280"/>
    <cellStyle name="Обычный 3 8 2" xfId="389"/>
    <cellStyle name="Обычный 3 9" xfId="281"/>
    <cellStyle name="Обычный 3 9 2" xfId="390"/>
    <cellStyle name="Обычный 3_Дефицит_7 млрд_0608_бс" xfId="282"/>
    <cellStyle name="Обычный 4" xfId="283"/>
    <cellStyle name="Обычный 4 2" xfId="284"/>
    <cellStyle name="Обычный 4 2 2" xfId="391"/>
    <cellStyle name="Обычный 4 3" xfId="285"/>
    <cellStyle name="Обычный 4 3 2" xfId="392"/>
    <cellStyle name="Обычный 4 4" xfId="393"/>
    <cellStyle name="Обычный 5" xfId="286"/>
    <cellStyle name="Обычный 5 2" xfId="287"/>
    <cellStyle name="Обычный 6" xfId="288"/>
    <cellStyle name="Обычный 6 2" xfId="289"/>
    <cellStyle name="Обычный 6 2 2" xfId="290"/>
    <cellStyle name="Обычный 6 2 2 2" xfId="394"/>
    <cellStyle name="Обычный 6 2 3" xfId="291"/>
    <cellStyle name="Обычный 6 2 3 2" xfId="395"/>
    <cellStyle name="Обычный 6 3" xfId="292"/>
    <cellStyle name="Обычный 6 3 2" xfId="293"/>
    <cellStyle name="Обычный 6 3 2 2" xfId="396"/>
    <cellStyle name="Обычный 6 4" xfId="294"/>
    <cellStyle name="Обычный 6 5" xfId="295"/>
    <cellStyle name="Обычный 6 5 2" xfId="397"/>
    <cellStyle name="Обычный 6_Дефицит_7 млрд_0608_бс" xfId="296"/>
    <cellStyle name="Обычный 7" xfId="297"/>
    <cellStyle name="Обычный 7 2" xfId="298"/>
    <cellStyle name="Обычный 8" xfId="299"/>
    <cellStyle name="Обычный 9" xfId="300"/>
    <cellStyle name="Обычный 9 2" xfId="301"/>
    <cellStyle name="Плохой 2" xfId="302"/>
    <cellStyle name="Плохой 3" xfId="303"/>
    <cellStyle name="Пояснение 2" xfId="304"/>
    <cellStyle name="Пояснение 3" xfId="305"/>
    <cellStyle name="Примечание 2" xfId="306"/>
    <cellStyle name="Примечание 3" xfId="307"/>
    <cellStyle name="Процентный" xfId="308" builtinId="5"/>
    <cellStyle name="Процентный 2" xfId="309"/>
    <cellStyle name="Процентный 2 10" xfId="310"/>
    <cellStyle name="Процентный 2 11" xfId="311"/>
    <cellStyle name="Процентный 2 12" xfId="312"/>
    <cellStyle name="Процентный 2 13" xfId="313"/>
    <cellStyle name="Процентный 2 14" xfId="314"/>
    <cellStyle name="Процентный 2 15" xfId="315"/>
    <cellStyle name="Процентный 2 16" xfId="316"/>
    <cellStyle name="Процентный 2 2" xfId="317"/>
    <cellStyle name="Процентный 2 3" xfId="318"/>
    <cellStyle name="Процентный 2 4" xfId="319"/>
    <cellStyle name="Процентный 2 5" xfId="320"/>
    <cellStyle name="Процентный 2 6" xfId="321"/>
    <cellStyle name="Процентный 2 7" xfId="322"/>
    <cellStyle name="Процентный 2 8" xfId="323"/>
    <cellStyle name="Процентный 2 9" xfId="324"/>
    <cellStyle name="Процентный 3" xfId="325"/>
    <cellStyle name="Процентный 4" xfId="326"/>
    <cellStyle name="Процентный 4 2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 2" xfId="337"/>
    <cellStyle name="Текст предупреждения 3" xfId="338"/>
    <cellStyle name="Тысячи [0]_1.62" xfId="339"/>
    <cellStyle name="Тысячи_1.62" xfId="340"/>
    <cellStyle name="Финансовый 2" xfId="341"/>
    <cellStyle name="Финансовый 2 10" xfId="342"/>
    <cellStyle name="Финансовый 2 11" xfId="343"/>
    <cellStyle name="Финансовый 2 12" xfId="344"/>
    <cellStyle name="Финансовый 2 13" xfId="345"/>
    <cellStyle name="Финансовый 2 14" xfId="346"/>
    <cellStyle name="Финансовый 2 15" xfId="347"/>
    <cellStyle name="Финансовый 2 16" xfId="348"/>
    <cellStyle name="Финансовый 2 17" xfId="349"/>
    <cellStyle name="Финансовый 2 2" xfId="350"/>
    <cellStyle name="Финансовый 2 3" xfId="351"/>
    <cellStyle name="Финансовый 2 4" xfId="352"/>
    <cellStyle name="Финансовый 2 5" xfId="353"/>
    <cellStyle name="Финансовый 2 6" xfId="354"/>
    <cellStyle name="Финансовый 2 7" xfId="355"/>
    <cellStyle name="Финансовый 2 8" xfId="356"/>
    <cellStyle name="Финансовый 2 9" xfId="357"/>
    <cellStyle name="Финансовый 3" xfId="358"/>
    <cellStyle name="Финансовый 3 2" xfId="359"/>
    <cellStyle name="Финансовый 4" xfId="360"/>
    <cellStyle name="Финансовый 4 2" xfId="361"/>
    <cellStyle name="Финансовый 4 3" xfId="362"/>
    <cellStyle name="Финансовый 5" xfId="363"/>
    <cellStyle name="Финансовый 6" xfId="364"/>
    <cellStyle name="Финансовый 7" xfId="365"/>
    <cellStyle name="Хороший 2" xfId="366"/>
    <cellStyle name="Хороший 3" xfId="367"/>
    <cellStyle name="числовой" xfId="368"/>
    <cellStyle name="Ю" xfId="369"/>
    <cellStyle name="Ю-FreeSet_10" xfId="37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F41"/>
  </sheetPr>
  <dimension ref="A1:L498"/>
  <sheetViews>
    <sheetView tabSelected="1" view="pageBreakPreview" topLeftCell="A4" zoomScale="65" zoomScaleNormal="70" zoomScaleSheetLayoutView="65" workbookViewId="0">
      <selection activeCell="K115" sqref="K115"/>
    </sheetView>
  </sheetViews>
  <sheetFormatPr defaultRowHeight="18.75"/>
  <cols>
    <col min="1" max="1" width="86.140625" style="3" customWidth="1"/>
    <col min="2" max="2" width="17.140625" style="25" customWidth="1"/>
    <col min="3" max="6" width="30.7109375" style="25" customWidth="1"/>
    <col min="7" max="7" width="25.7109375" style="25" customWidth="1"/>
    <col min="8" max="8" width="21.7109375" style="25" customWidth="1"/>
    <col min="9" max="9" width="10" style="3" customWidth="1"/>
    <col min="10" max="10" width="9.5703125" style="3" customWidth="1"/>
    <col min="11" max="11" width="26" style="3" customWidth="1"/>
    <col min="12" max="12" width="14" style="3" customWidth="1"/>
    <col min="13" max="16384" width="9.140625" style="3"/>
  </cols>
  <sheetData>
    <row r="1" spans="1:12" ht="18.75" customHeight="1">
      <c r="B1" s="22"/>
      <c r="C1" s="22"/>
      <c r="D1" s="22"/>
      <c r="E1" s="3"/>
      <c r="F1" s="395" t="s">
        <v>160</v>
      </c>
      <c r="G1" s="395"/>
      <c r="H1" s="395"/>
      <c r="I1" s="108"/>
      <c r="J1" s="108"/>
      <c r="K1" s="108"/>
      <c r="L1" s="108"/>
    </row>
    <row r="2" spans="1:12" ht="18.75" customHeight="1">
      <c r="A2" s="75"/>
      <c r="E2" s="3"/>
      <c r="F2" s="395" t="s">
        <v>95</v>
      </c>
      <c r="G2" s="395"/>
      <c r="H2" s="395"/>
      <c r="I2" s="108"/>
      <c r="J2" s="108"/>
      <c r="K2" s="108"/>
      <c r="L2" s="108"/>
    </row>
    <row r="3" spans="1:12" ht="18.75" customHeight="1">
      <c r="A3" s="25"/>
      <c r="E3" s="74"/>
      <c r="F3" s="395" t="s">
        <v>175</v>
      </c>
      <c r="G3" s="395"/>
      <c r="H3" s="395"/>
      <c r="I3" s="108"/>
      <c r="J3" s="108"/>
      <c r="K3" s="108"/>
      <c r="L3" s="108"/>
    </row>
    <row r="4" spans="1:12" ht="18.75" customHeight="1">
      <c r="A4" s="25"/>
      <c r="E4" s="74"/>
      <c r="F4" s="395" t="s">
        <v>176</v>
      </c>
      <c r="G4" s="395"/>
      <c r="H4" s="395"/>
      <c r="I4" s="108"/>
      <c r="J4" s="108"/>
      <c r="K4" s="108"/>
      <c r="L4" s="108"/>
    </row>
    <row r="5" spans="1:12" ht="18.75" customHeight="1">
      <c r="A5" s="25"/>
      <c r="E5" s="74"/>
      <c r="F5" s="102" t="s">
        <v>220</v>
      </c>
      <c r="G5" s="74"/>
      <c r="H5" s="74"/>
      <c r="I5" s="108"/>
      <c r="J5" s="108"/>
      <c r="K5" s="108"/>
      <c r="L5" s="108"/>
    </row>
    <row r="6" spans="1:12" ht="18.75" customHeight="1">
      <c r="A6" s="25"/>
      <c r="E6" s="74"/>
      <c r="F6" s="74"/>
      <c r="G6" s="74"/>
      <c r="H6" s="74"/>
      <c r="I6" s="108"/>
      <c r="J6" s="108"/>
      <c r="K6" s="108"/>
      <c r="L6" s="108"/>
    </row>
    <row r="7" spans="1:12" ht="18.75" customHeight="1">
      <c r="A7" s="25"/>
      <c r="E7" s="74"/>
      <c r="F7" s="74"/>
      <c r="G7" s="74"/>
      <c r="H7" s="74"/>
      <c r="I7" s="108"/>
      <c r="J7" s="108"/>
      <c r="K7" s="108"/>
      <c r="L7" s="108"/>
    </row>
    <row r="8" spans="1:12">
      <c r="B8" s="4"/>
      <c r="C8" s="4"/>
      <c r="D8" s="4"/>
      <c r="F8" s="102"/>
    </row>
    <row r="9" spans="1:12" ht="20.100000000000001" customHeight="1">
      <c r="A9" s="71"/>
      <c r="B9" s="390"/>
      <c r="C9" s="390"/>
      <c r="D9" s="390"/>
      <c r="E9" s="390"/>
      <c r="F9" s="72"/>
      <c r="G9" s="40" t="s">
        <v>580</v>
      </c>
      <c r="H9" s="6" t="s">
        <v>179</v>
      </c>
    </row>
    <row r="10" spans="1:12" ht="20.100000000000001" customHeight="1">
      <c r="A10" s="76" t="s">
        <v>14</v>
      </c>
      <c r="B10" s="390" t="s">
        <v>554</v>
      </c>
      <c r="C10" s="390"/>
      <c r="D10" s="390"/>
      <c r="E10" s="390"/>
      <c r="F10" s="78"/>
      <c r="G10" s="15" t="s">
        <v>112</v>
      </c>
      <c r="H10" s="6">
        <v>38917026</v>
      </c>
    </row>
    <row r="11" spans="1:12" ht="20.100000000000001" customHeight="1">
      <c r="A11" s="71" t="s">
        <v>15</v>
      </c>
      <c r="B11" s="390" t="s">
        <v>596</v>
      </c>
      <c r="C11" s="390"/>
      <c r="D11" s="390"/>
      <c r="E11" s="390"/>
      <c r="F11" s="72"/>
      <c r="G11" s="15" t="s">
        <v>111</v>
      </c>
      <c r="H11" s="6">
        <v>145</v>
      </c>
    </row>
    <row r="12" spans="1:12" ht="20.100000000000001" customHeight="1">
      <c r="A12" s="71" t="s">
        <v>20</v>
      </c>
      <c r="B12" s="390" t="s">
        <v>464</v>
      </c>
      <c r="C12" s="390"/>
      <c r="D12" s="390"/>
      <c r="E12" s="390"/>
      <c r="F12" s="72"/>
      <c r="G12" s="15" t="s">
        <v>110</v>
      </c>
      <c r="H12" s="6">
        <v>5110100000</v>
      </c>
    </row>
    <row r="13" spans="1:12" ht="20.100000000000001" customHeight="1">
      <c r="A13" s="76" t="s">
        <v>67</v>
      </c>
      <c r="B13" s="390" t="s">
        <v>465</v>
      </c>
      <c r="C13" s="390"/>
      <c r="D13" s="390"/>
      <c r="E13" s="390"/>
      <c r="F13" s="78"/>
      <c r="G13" s="15" t="s">
        <v>9</v>
      </c>
      <c r="H13" s="6"/>
    </row>
    <row r="14" spans="1:12" ht="20.100000000000001" customHeight="1">
      <c r="A14" s="76" t="s">
        <v>17</v>
      </c>
      <c r="B14" s="390" t="s">
        <v>466</v>
      </c>
      <c r="C14" s="390"/>
      <c r="D14" s="390"/>
      <c r="E14" s="390"/>
      <c r="F14" s="78"/>
      <c r="G14" s="15" t="s">
        <v>8</v>
      </c>
      <c r="H14" s="6"/>
    </row>
    <row r="15" spans="1:12" ht="20.100000000000001" customHeight="1">
      <c r="A15" s="76" t="s">
        <v>16</v>
      </c>
      <c r="B15" s="390" t="s">
        <v>467</v>
      </c>
      <c r="C15" s="390"/>
      <c r="D15" s="390"/>
      <c r="E15" s="390"/>
      <c r="F15" s="78"/>
      <c r="G15" s="15" t="s">
        <v>10</v>
      </c>
      <c r="H15" s="6" t="s">
        <v>463</v>
      </c>
    </row>
    <row r="16" spans="1:12" ht="20.100000000000001" customHeight="1">
      <c r="A16" s="76" t="s">
        <v>381</v>
      </c>
      <c r="B16" s="390"/>
      <c r="C16" s="390"/>
      <c r="D16" s="390"/>
      <c r="E16" s="390"/>
      <c r="F16" s="390" t="s">
        <v>135</v>
      </c>
      <c r="G16" s="397"/>
      <c r="H16" s="12"/>
    </row>
    <row r="17" spans="1:8" ht="20.100000000000001" customHeight="1">
      <c r="A17" s="76" t="s">
        <v>21</v>
      </c>
      <c r="B17" s="390" t="s">
        <v>468</v>
      </c>
      <c r="C17" s="390"/>
      <c r="D17" s="390"/>
      <c r="E17" s="390"/>
      <c r="F17" s="390" t="s">
        <v>136</v>
      </c>
      <c r="G17" s="396"/>
      <c r="H17" s="12"/>
    </row>
    <row r="18" spans="1:8" ht="20.100000000000001" customHeight="1">
      <c r="A18" s="76" t="s">
        <v>94</v>
      </c>
      <c r="B18" s="390">
        <f>'6.1. Інша інфо_1'!I11</f>
        <v>288</v>
      </c>
      <c r="C18" s="390"/>
      <c r="D18" s="390"/>
      <c r="E18" s="390"/>
      <c r="F18" s="77"/>
      <c r="G18" s="77"/>
      <c r="H18" s="77"/>
    </row>
    <row r="19" spans="1:8" ht="20.100000000000001" customHeight="1">
      <c r="A19" s="71" t="s">
        <v>11</v>
      </c>
      <c r="B19" s="390" t="s">
        <v>469</v>
      </c>
      <c r="C19" s="390"/>
      <c r="D19" s="390"/>
      <c r="E19" s="390"/>
      <c r="F19" s="73"/>
      <c r="G19" s="73"/>
      <c r="H19" s="73"/>
    </row>
    <row r="20" spans="1:8" ht="20.100000000000001" customHeight="1">
      <c r="A20" s="76" t="s">
        <v>12</v>
      </c>
      <c r="B20" s="390" t="s">
        <v>470</v>
      </c>
      <c r="C20" s="390"/>
      <c r="D20" s="390"/>
      <c r="E20" s="390"/>
      <c r="F20" s="77"/>
      <c r="G20" s="77"/>
      <c r="H20" s="77"/>
    </row>
    <row r="21" spans="1:8" ht="20.100000000000001" customHeight="1">
      <c r="A21" s="71" t="s">
        <v>13</v>
      </c>
      <c r="B21" s="390" t="s">
        <v>471</v>
      </c>
      <c r="C21" s="390"/>
      <c r="D21" s="390"/>
      <c r="E21" s="390"/>
      <c r="F21" s="73"/>
      <c r="G21" s="73"/>
      <c r="H21" s="73"/>
    </row>
    <row r="22" spans="1:8" ht="19.5" customHeight="1">
      <c r="A22" s="74"/>
      <c r="B22" s="3"/>
      <c r="C22" s="3"/>
      <c r="D22" s="3"/>
      <c r="E22" s="3"/>
      <c r="F22" s="3"/>
      <c r="G22" s="3"/>
      <c r="H22" s="3"/>
    </row>
    <row r="23" spans="1:8" ht="19.5" customHeight="1">
      <c r="A23" s="391" t="s">
        <v>161</v>
      </c>
      <c r="B23" s="391"/>
      <c r="C23" s="391"/>
      <c r="D23" s="391"/>
      <c r="E23" s="391"/>
      <c r="F23" s="391"/>
      <c r="G23" s="391"/>
      <c r="H23" s="391"/>
    </row>
    <row r="24" spans="1:8">
      <c r="A24" s="391" t="s">
        <v>162</v>
      </c>
      <c r="B24" s="391"/>
      <c r="C24" s="391"/>
      <c r="D24" s="391"/>
      <c r="E24" s="391"/>
      <c r="F24" s="391"/>
      <c r="G24" s="391"/>
      <c r="H24" s="391"/>
    </row>
    <row r="25" spans="1:8">
      <c r="A25" s="391" t="s">
        <v>673</v>
      </c>
      <c r="B25" s="391"/>
      <c r="C25" s="391"/>
      <c r="D25" s="391"/>
      <c r="E25" s="391"/>
      <c r="F25" s="391"/>
      <c r="G25" s="391"/>
      <c r="H25" s="391"/>
    </row>
    <row r="26" spans="1:8">
      <c r="A26" s="394" t="s">
        <v>674</v>
      </c>
      <c r="B26" s="394"/>
      <c r="C26" s="394"/>
      <c r="D26" s="394"/>
      <c r="E26" s="394"/>
      <c r="F26" s="394"/>
      <c r="G26" s="394"/>
      <c r="H26" s="394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391" t="s">
        <v>142</v>
      </c>
      <c r="B28" s="391"/>
      <c r="C28" s="391"/>
      <c r="D28" s="391"/>
      <c r="E28" s="391"/>
      <c r="F28" s="391"/>
      <c r="G28" s="391"/>
      <c r="H28" s="391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393" t="s">
        <v>194</v>
      </c>
      <c r="B30" s="389" t="s">
        <v>18</v>
      </c>
      <c r="C30" s="389" t="s">
        <v>158</v>
      </c>
      <c r="D30" s="389"/>
      <c r="E30" s="392" t="s">
        <v>675</v>
      </c>
      <c r="F30" s="392"/>
      <c r="G30" s="392"/>
      <c r="H30" s="392"/>
    </row>
    <row r="31" spans="1:8" ht="44.25" customHeight="1">
      <c r="A31" s="393"/>
      <c r="B31" s="389"/>
      <c r="C31" s="7" t="s">
        <v>182</v>
      </c>
      <c r="D31" s="7" t="s">
        <v>183</v>
      </c>
      <c r="E31" s="69" t="s">
        <v>184</v>
      </c>
      <c r="F31" s="69" t="s">
        <v>170</v>
      </c>
      <c r="G31" s="69" t="s">
        <v>189</v>
      </c>
      <c r="H31" s="69" t="s">
        <v>190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9" s="5" customFormat="1" ht="19.5" thickBot="1">
      <c r="A33" s="401" t="s">
        <v>88</v>
      </c>
      <c r="B33" s="402"/>
      <c r="C33" s="402"/>
      <c r="D33" s="402"/>
      <c r="E33" s="402"/>
      <c r="F33" s="402"/>
      <c r="G33" s="402"/>
      <c r="H33" s="403"/>
      <c r="I33" s="3"/>
    </row>
    <row r="34" spans="1:9" s="5" customFormat="1" ht="20.100000000000001" customHeight="1">
      <c r="A34" s="109" t="s">
        <v>143</v>
      </c>
      <c r="B34" s="106">
        <v>1000</v>
      </c>
      <c r="C34" s="302">
        <f>'I. Фін результат'!C7</f>
        <v>762</v>
      </c>
      <c r="D34" s="302">
        <f>'I. Фін результат'!D7</f>
        <v>640</v>
      </c>
      <c r="E34" s="302">
        <f>'I. Фін результат'!E7</f>
        <v>482</v>
      </c>
      <c r="F34" s="318">
        <f>'I. Фін результат'!F7</f>
        <v>640</v>
      </c>
      <c r="G34" s="110">
        <f>F34-E34</f>
        <v>158</v>
      </c>
      <c r="H34" s="140">
        <f>(F34/E34)*100</f>
        <v>132.78008298755185</v>
      </c>
      <c r="I34" s="3"/>
    </row>
    <row r="35" spans="1:9" s="5" customFormat="1" ht="20.100000000000001" customHeight="1">
      <c r="A35" s="80" t="s">
        <v>127</v>
      </c>
      <c r="B35" s="7">
        <v>1010</v>
      </c>
      <c r="C35" s="302">
        <f>'I. Фін результат'!C8</f>
        <v>-136230</v>
      </c>
      <c r="D35" s="302">
        <f>'I. Фін результат'!D8</f>
        <v>-119299</v>
      </c>
      <c r="E35" s="302">
        <f>'I. Фін результат'!E8</f>
        <v>-148930</v>
      </c>
      <c r="F35" s="318">
        <f>'I. Фін результат'!F8</f>
        <v>-119299</v>
      </c>
      <c r="G35" s="104">
        <f>F35-E35</f>
        <v>29631</v>
      </c>
      <c r="H35" s="140">
        <f t="shared" ref="H35:H80" si="0">(F35/E35)*100</f>
        <v>80.104075740280663</v>
      </c>
      <c r="I35" s="3"/>
    </row>
    <row r="36" spans="1:9" s="5" customFormat="1" ht="20.100000000000001" customHeight="1">
      <c r="A36" s="183" t="s">
        <v>185</v>
      </c>
      <c r="B36" s="184">
        <v>1020</v>
      </c>
      <c r="C36" s="196">
        <f>SUM(C34:C35)</f>
        <v>-135468</v>
      </c>
      <c r="D36" s="196">
        <f>SUM(D34:D35)</f>
        <v>-118659</v>
      </c>
      <c r="E36" s="196">
        <f>SUM(E34:E35)</f>
        <v>-148448</v>
      </c>
      <c r="F36" s="197">
        <f>SUM(F34:F35)</f>
        <v>-118659</v>
      </c>
      <c r="G36" s="165">
        <f t="shared" ref="G36:G80" si="1">F36-E36</f>
        <v>29789</v>
      </c>
      <c r="H36" s="185">
        <f t="shared" si="0"/>
        <v>79.933040525975429</v>
      </c>
      <c r="I36" s="3"/>
    </row>
    <row r="37" spans="1:9" s="5" customFormat="1" ht="20.100000000000001" customHeight="1">
      <c r="A37" s="80" t="s">
        <v>153</v>
      </c>
      <c r="B37" s="9">
        <v>1030</v>
      </c>
      <c r="C37" s="302">
        <f>'I. Фін результат'!C35</f>
        <v>-38527.999999999993</v>
      </c>
      <c r="D37" s="302">
        <f>'I. Фін результат'!D35</f>
        <v>-40424</v>
      </c>
      <c r="E37" s="302">
        <f>'I. Фін результат'!E35</f>
        <v>-41903</v>
      </c>
      <c r="F37" s="318">
        <f>'I. Фін результат'!F35</f>
        <v>-40424</v>
      </c>
      <c r="G37" s="104">
        <f t="shared" si="1"/>
        <v>1479</v>
      </c>
      <c r="H37" s="140">
        <f t="shared" si="0"/>
        <v>96.47041977901344</v>
      </c>
      <c r="I37" s="3"/>
    </row>
    <row r="38" spans="1:9" s="5" customFormat="1" ht="20.100000000000001" customHeight="1">
      <c r="A38" s="8" t="s">
        <v>96</v>
      </c>
      <c r="B38" s="9">
        <v>1031</v>
      </c>
      <c r="C38" s="302">
        <f>'I. Фін результат'!C36</f>
        <v>-17.7</v>
      </c>
      <c r="D38" s="302">
        <f>'I. Фін результат'!D36</f>
        <v>-12</v>
      </c>
      <c r="E38" s="302">
        <f>'I. Фін результат'!E36</f>
        <v>-26</v>
      </c>
      <c r="F38" s="302">
        <f>'I. Фін результат'!F36</f>
        <v>-12</v>
      </c>
      <c r="G38" s="150">
        <f t="shared" si="1"/>
        <v>14</v>
      </c>
      <c r="H38" s="152">
        <f t="shared" si="0"/>
        <v>46.153846153846153</v>
      </c>
      <c r="I38" s="3"/>
    </row>
    <row r="39" spans="1:9" s="5" customFormat="1" ht="20.100000000000001" customHeight="1">
      <c r="A39" s="8" t="s">
        <v>145</v>
      </c>
      <c r="B39" s="9">
        <v>1032</v>
      </c>
      <c r="C39" s="302" t="str">
        <f>'I. Фін результат'!C37</f>
        <v>(    )</v>
      </c>
      <c r="D39" s="302">
        <f>'I. Фін результат'!D37</f>
        <v>0</v>
      </c>
      <c r="E39" s="302" t="str">
        <f>'I. Фін результат'!E37</f>
        <v>(    )</v>
      </c>
      <c r="F39" s="302">
        <f>'I. Фін результат'!F37</f>
        <v>0</v>
      </c>
      <c r="G39" s="150" t="e">
        <f t="shared" si="1"/>
        <v>#VALUE!</v>
      </c>
      <c r="H39" s="152" t="e">
        <f t="shared" si="0"/>
        <v>#VALUE!</v>
      </c>
      <c r="I39" s="3"/>
    </row>
    <row r="40" spans="1:9" s="5" customFormat="1" ht="20.100000000000001" customHeight="1">
      <c r="A40" s="8" t="s">
        <v>58</v>
      </c>
      <c r="B40" s="9">
        <v>1033</v>
      </c>
      <c r="C40" s="302" t="str">
        <f>'I. Фін результат'!C38</f>
        <v>(    )</v>
      </c>
      <c r="D40" s="302">
        <f>'I. Фін результат'!D38</f>
        <v>0</v>
      </c>
      <c r="E40" s="302" t="str">
        <f>'I. Фін результат'!E38</f>
        <v>(    )</v>
      </c>
      <c r="F40" s="302">
        <f>'I. Фін результат'!F38</f>
        <v>0</v>
      </c>
      <c r="G40" s="150" t="e">
        <f t="shared" si="1"/>
        <v>#VALUE!</v>
      </c>
      <c r="H40" s="152" t="e">
        <f t="shared" si="0"/>
        <v>#VALUE!</v>
      </c>
      <c r="I40" s="3"/>
    </row>
    <row r="41" spans="1:9" s="5" customFormat="1" ht="20.100000000000001" customHeight="1">
      <c r="A41" s="8" t="s">
        <v>22</v>
      </c>
      <c r="B41" s="9">
        <v>1034</v>
      </c>
      <c r="C41" s="302" t="str">
        <f>'I. Фін результат'!C39</f>
        <v>(    )</v>
      </c>
      <c r="D41" s="302">
        <f>'I. Фін результат'!D39</f>
        <v>0</v>
      </c>
      <c r="E41" s="302" t="str">
        <f>'I. Фін результат'!E39</f>
        <v>(    )</v>
      </c>
      <c r="F41" s="302">
        <f>'I. Фін результат'!F39</f>
        <v>0</v>
      </c>
      <c r="G41" s="150" t="e">
        <f t="shared" si="1"/>
        <v>#VALUE!</v>
      </c>
      <c r="H41" s="152" t="e">
        <f t="shared" si="0"/>
        <v>#VALUE!</v>
      </c>
      <c r="I41" s="3"/>
    </row>
    <row r="42" spans="1:9" s="5" customFormat="1" ht="20.100000000000001" customHeight="1">
      <c r="A42" s="8" t="s">
        <v>23</v>
      </c>
      <c r="B42" s="9">
        <v>1035</v>
      </c>
      <c r="C42" s="302" t="str">
        <f>'I. Фін результат'!C40</f>
        <v>(    )</v>
      </c>
      <c r="D42" s="302">
        <f>'I. Фін результат'!D40</f>
        <v>0</v>
      </c>
      <c r="E42" s="302" t="str">
        <f>'I. Фін результат'!E40</f>
        <v>(    )</v>
      </c>
      <c r="F42" s="302">
        <f>'I. Фін результат'!F40</f>
        <v>0</v>
      </c>
      <c r="G42" s="150" t="e">
        <f t="shared" si="1"/>
        <v>#VALUE!</v>
      </c>
      <c r="H42" s="152" t="e">
        <f t="shared" si="0"/>
        <v>#VALUE!</v>
      </c>
      <c r="I42" s="3"/>
    </row>
    <row r="43" spans="1:9" s="5" customFormat="1" ht="20.100000000000001" customHeight="1">
      <c r="A43" s="80" t="s">
        <v>116</v>
      </c>
      <c r="B43" s="7">
        <v>1060</v>
      </c>
      <c r="C43" s="302">
        <f>'I. Фін результат'!C72</f>
        <v>0</v>
      </c>
      <c r="D43" s="302">
        <f>'I. Фін результат'!D72</f>
        <v>0</v>
      </c>
      <c r="E43" s="302">
        <f>'I. Фін результат'!E72</f>
        <v>0</v>
      </c>
      <c r="F43" s="302">
        <f>'I. Фін результат'!F72</f>
        <v>0</v>
      </c>
      <c r="G43" s="104">
        <f t="shared" si="1"/>
        <v>0</v>
      </c>
      <c r="H43" s="152" t="e">
        <f t="shared" si="0"/>
        <v>#DIV/0!</v>
      </c>
      <c r="I43" s="3"/>
    </row>
    <row r="44" spans="1:9" s="5" customFormat="1" ht="20.100000000000001" customHeight="1">
      <c r="A44" s="8" t="s">
        <v>231</v>
      </c>
      <c r="B44" s="9">
        <v>1070</v>
      </c>
      <c r="C44" s="302">
        <f>'I. Фін результат'!C80</f>
        <v>194801</v>
      </c>
      <c r="D44" s="302">
        <f>'I. Фін результат'!D80</f>
        <v>167424</v>
      </c>
      <c r="E44" s="302">
        <f>'I. Фін результат'!E80</f>
        <v>195630</v>
      </c>
      <c r="F44" s="318">
        <f>'I. Фін результат'!F80</f>
        <v>167424</v>
      </c>
      <c r="G44" s="104">
        <f t="shared" si="1"/>
        <v>-28206</v>
      </c>
      <c r="H44" s="140">
        <f t="shared" si="0"/>
        <v>85.581965956141687</v>
      </c>
      <c r="I44" s="3"/>
    </row>
    <row r="45" spans="1:9" s="5" customFormat="1" ht="20.100000000000001" customHeight="1">
      <c r="A45" s="8" t="s">
        <v>150</v>
      </c>
      <c r="B45" s="9">
        <v>1071</v>
      </c>
      <c r="C45" s="302">
        <f>'I. Фін результат'!C81</f>
        <v>194.6</v>
      </c>
      <c r="D45" s="302">
        <f>'I. Фін результат'!D81</f>
        <v>204</v>
      </c>
      <c r="E45" s="302">
        <f>'I. Фін результат'!E81</f>
        <v>190</v>
      </c>
      <c r="F45" s="318">
        <f>'I. Фін результат'!F81</f>
        <v>204</v>
      </c>
      <c r="G45" s="104">
        <f t="shared" si="1"/>
        <v>14</v>
      </c>
      <c r="H45" s="140">
        <f t="shared" si="0"/>
        <v>107.36842105263158</v>
      </c>
      <c r="I45" s="3"/>
    </row>
    <row r="46" spans="1:9" s="5" customFormat="1" ht="20.100000000000001" customHeight="1">
      <c r="A46" s="8" t="s">
        <v>232</v>
      </c>
      <c r="B46" s="9">
        <v>1072</v>
      </c>
      <c r="C46" s="302">
        <f>'I. Фін результат'!C82</f>
        <v>0</v>
      </c>
      <c r="D46" s="302">
        <f>'I. Фін результат'!D82</f>
        <v>0</v>
      </c>
      <c r="E46" s="302">
        <f>'I. Фін результат'!E82</f>
        <v>0</v>
      </c>
      <c r="F46" s="318">
        <f>'I. Фін результат'!F82</f>
        <v>0</v>
      </c>
      <c r="G46" s="104">
        <f t="shared" si="1"/>
        <v>0</v>
      </c>
      <c r="H46" s="152" t="e">
        <f t="shared" si="0"/>
        <v>#DIV/0!</v>
      </c>
      <c r="I46" s="3"/>
    </row>
    <row r="47" spans="1:9" s="5" customFormat="1" ht="20.100000000000001" customHeight="1">
      <c r="A47" s="84" t="s">
        <v>233</v>
      </c>
      <c r="B47" s="9">
        <v>1080</v>
      </c>
      <c r="C47" s="302">
        <f>'I. Фін результат'!C88</f>
        <v>-13299.999999999998</v>
      </c>
      <c r="D47" s="302">
        <f>'I. Фін результат'!D88</f>
        <v>-14453</v>
      </c>
      <c r="E47" s="302">
        <f>'I. Фін результат'!E88</f>
        <v>-17595</v>
      </c>
      <c r="F47" s="318">
        <f>'I. Фін результат'!F88</f>
        <v>-14453</v>
      </c>
      <c r="G47" s="104">
        <f t="shared" si="1"/>
        <v>3142</v>
      </c>
      <c r="H47" s="140">
        <f t="shared" si="0"/>
        <v>82.142654163114528</v>
      </c>
      <c r="I47" s="3"/>
    </row>
    <row r="48" spans="1:9" s="5" customFormat="1" ht="20.100000000000001" customHeight="1">
      <c r="A48" s="8" t="s">
        <v>150</v>
      </c>
      <c r="B48" s="9">
        <v>1081</v>
      </c>
      <c r="C48" s="302">
        <f>'I. Фін результат'!C89</f>
        <v>-151.69999999999999</v>
      </c>
      <c r="D48" s="302">
        <f>'I. Фін результат'!D89</f>
        <v>-252</v>
      </c>
      <c r="E48" s="302">
        <f>'I. Фін результат'!E89</f>
        <v>-164</v>
      </c>
      <c r="F48" s="318">
        <f>'I. Фін результат'!F89</f>
        <v>-252</v>
      </c>
      <c r="G48" s="104">
        <f t="shared" si="1"/>
        <v>-88</v>
      </c>
      <c r="H48" s="140">
        <f t="shared" si="0"/>
        <v>153.65853658536585</v>
      </c>
      <c r="I48" s="3"/>
    </row>
    <row r="49" spans="1:9" s="5" customFormat="1" ht="20.100000000000001" customHeight="1">
      <c r="A49" s="8" t="s">
        <v>234</v>
      </c>
      <c r="B49" s="9">
        <v>1082</v>
      </c>
      <c r="C49" s="302" t="str">
        <f>'I. Фін результат'!C90</f>
        <v>(    )</v>
      </c>
      <c r="D49" s="302">
        <f>'I. Фін результат'!D90</f>
        <v>0</v>
      </c>
      <c r="E49" s="302">
        <f>'I. Фін результат'!E90</f>
        <v>0</v>
      </c>
      <c r="F49" s="318">
        <f>'I. Фін результат'!F90</f>
        <v>0</v>
      </c>
      <c r="G49" s="150">
        <f t="shared" si="1"/>
        <v>0</v>
      </c>
      <c r="H49" s="152" t="e">
        <f t="shared" si="0"/>
        <v>#DIV/0!</v>
      </c>
      <c r="I49" s="3"/>
    </row>
    <row r="50" spans="1:9" s="5" customFormat="1" ht="20.100000000000001" customHeight="1">
      <c r="A50" s="173" t="s">
        <v>4</v>
      </c>
      <c r="B50" s="184">
        <v>1100</v>
      </c>
      <c r="C50" s="196">
        <f>SUM(C36,C37,C43,C44,C47)</f>
        <v>7505.0000000000018</v>
      </c>
      <c r="D50" s="196">
        <f>SUM(D36,D37,D43,D44,D47)</f>
        <v>-6112</v>
      </c>
      <c r="E50" s="196">
        <f>SUM(E36,E37,E43,E44,E47)</f>
        <v>-12316</v>
      </c>
      <c r="F50" s="197">
        <f>ROUND(SUM(F36,F37,F43,F44,F47),0)</f>
        <v>-6112</v>
      </c>
      <c r="G50" s="165">
        <f t="shared" si="1"/>
        <v>6204</v>
      </c>
      <c r="H50" s="185">
        <f t="shared" si="0"/>
        <v>49.626502111075027</v>
      </c>
      <c r="I50" s="3"/>
    </row>
    <row r="51" spans="1:9" s="5" customFormat="1" ht="20.100000000000001" customHeight="1">
      <c r="A51" s="81" t="s">
        <v>117</v>
      </c>
      <c r="B51" s="7">
        <v>1310</v>
      </c>
      <c r="C51" s="290">
        <f>'I. Фін результат'!C136</f>
        <v>17290.100000000002</v>
      </c>
      <c r="D51" s="290">
        <f>'I. Фін результат'!D136</f>
        <v>9063</v>
      </c>
      <c r="E51" s="290">
        <f>'I. Фін результат'!E136</f>
        <v>3268</v>
      </c>
      <c r="F51" s="319">
        <f>'I. Фін результат'!F136</f>
        <v>9063</v>
      </c>
      <c r="G51" s="111">
        <f t="shared" si="1"/>
        <v>5795</v>
      </c>
      <c r="H51" s="141">
        <f t="shared" si="0"/>
        <v>277.32558139534882</v>
      </c>
      <c r="I51" s="3"/>
    </row>
    <row r="52" spans="1:9" s="5" customFormat="1">
      <c r="A52" s="81" t="s">
        <v>155</v>
      </c>
      <c r="B52" s="7">
        <v>5010</v>
      </c>
      <c r="C52" s="290">
        <f>(C51/C34)*100</f>
        <v>2269.0419947506566</v>
      </c>
      <c r="D52" s="290">
        <f>(D51/D34)*100</f>
        <v>1416.09375</v>
      </c>
      <c r="E52" s="290">
        <f>(E51/E34)*100</f>
        <v>678.00829875518673</v>
      </c>
      <c r="F52" s="319">
        <f>(F51/F34)*100</f>
        <v>1416.09375</v>
      </c>
      <c r="G52" s="111">
        <f t="shared" si="1"/>
        <v>738.08545124481327</v>
      </c>
      <c r="H52" s="141">
        <f t="shared" si="0"/>
        <v>208.86082848837208</v>
      </c>
      <c r="I52" s="3"/>
    </row>
    <row r="53" spans="1:9" s="5" customFormat="1" ht="20.100000000000001" customHeight="1">
      <c r="A53" s="8" t="s">
        <v>235</v>
      </c>
      <c r="B53" s="9">
        <v>1110</v>
      </c>
      <c r="C53" s="302">
        <f>'I. Фін результат'!C105</f>
        <v>0</v>
      </c>
      <c r="D53" s="302">
        <f>'I. Фін результат'!D105</f>
        <v>0</v>
      </c>
      <c r="E53" s="302">
        <f>'I. Фін результат'!E105</f>
        <v>0</v>
      </c>
      <c r="F53" s="302">
        <f>'I. Фін результат'!F105</f>
        <v>0</v>
      </c>
      <c r="G53" s="104">
        <f t="shared" si="1"/>
        <v>0</v>
      </c>
      <c r="H53" s="152" t="e">
        <f t="shared" si="0"/>
        <v>#DIV/0!</v>
      </c>
      <c r="I53" s="3"/>
    </row>
    <row r="54" spans="1:9" s="5" customFormat="1">
      <c r="A54" s="8" t="s">
        <v>236</v>
      </c>
      <c r="B54" s="9">
        <v>1120</v>
      </c>
      <c r="C54" s="302" t="str">
        <f>'I. Фін результат'!C106</f>
        <v>(    )</v>
      </c>
      <c r="D54" s="302">
        <f>'I. Фін результат'!D106</f>
        <v>0</v>
      </c>
      <c r="E54" s="302" t="str">
        <f>'I. Фін результат'!E106</f>
        <v>(    )</v>
      </c>
      <c r="F54" s="302">
        <f>'I. Фін результат'!F106</f>
        <v>0</v>
      </c>
      <c r="G54" s="150" t="e">
        <f t="shared" si="1"/>
        <v>#VALUE!</v>
      </c>
      <c r="H54" s="152" t="e">
        <f t="shared" si="0"/>
        <v>#VALUE!</v>
      </c>
      <c r="I54" s="3"/>
    </row>
    <row r="55" spans="1:9" s="5" customFormat="1" ht="20.100000000000001" customHeight="1">
      <c r="A55" s="8" t="s">
        <v>237</v>
      </c>
      <c r="B55" s="9">
        <v>1130</v>
      </c>
      <c r="C55" s="302">
        <f>'I. Фін результат'!C107</f>
        <v>0</v>
      </c>
      <c r="D55" s="302">
        <f>'I. Фін результат'!D107</f>
        <v>0</v>
      </c>
      <c r="E55" s="302">
        <f>'I. Фін результат'!E107</f>
        <v>0</v>
      </c>
      <c r="F55" s="302">
        <f>'I. Фін результат'!F107</f>
        <v>0</v>
      </c>
      <c r="G55" s="104">
        <f t="shared" si="1"/>
        <v>0</v>
      </c>
      <c r="H55" s="152" t="e">
        <f t="shared" si="0"/>
        <v>#DIV/0!</v>
      </c>
      <c r="I55" s="3"/>
    </row>
    <row r="56" spans="1:9" s="5" customFormat="1" ht="20.100000000000001" customHeight="1">
      <c r="A56" s="8" t="s">
        <v>238</v>
      </c>
      <c r="B56" s="9">
        <v>1140</v>
      </c>
      <c r="C56" s="302" t="str">
        <f>'I. Фін результат'!C108</f>
        <v>(    )</v>
      </c>
      <c r="D56" s="302">
        <f>'I. Фін результат'!D108</f>
        <v>0</v>
      </c>
      <c r="E56" s="302" t="str">
        <f>'I. Фін результат'!E108</f>
        <v>(    )</v>
      </c>
      <c r="F56" s="302">
        <f>'I. Фін результат'!F108</f>
        <v>0</v>
      </c>
      <c r="G56" s="150" t="e">
        <f t="shared" si="1"/>
        <v>#VALUE!</v>
      </c>
      <c r="H56" s="152" t="e">
        <f t="shared" si="0"/>
        <v>#VALUE!</v>
      </c>
      <c r="I56" s="3"/>
    </row>
    <row r="57" spans="1:9" s="5" customFormat="1" ht="20.100000000000001" customHeight="1">
      <c r="A57" s="8" t="s">
        <v>255</v>
      </c>
      <c r="B57" s="9">
        <v>1150</v>
      </c>
      <c r="C57" s="302">
        <f>'I. Фін результат'!C109</f>
        <v>9361</v>
      </c>
      <c r="D57" s="302">
        <f>'I. Фін результат'!D109</f>
        <v>15129</v>
      </c>
      <c r="E57" s="302">
        <f>'I. Фін результат'!E109</f>
        <v>15610</v>
      </c>
      <c r="F57" s="318">
        <f>'I. Фін результат'!F109</f>
        <v>15129</v>
      </c>
      <c r="G57" s="104">
        <f t="shared" si="1"/>
        <v>-481</v>
      </c>
      <c r="H57" s="140">
        <f t="shared" si="0"/>
        <v>96.918641896220365</v>
      </c>
      <c r="I57" s="3"/>
    </row>
    <row r="58" spans="1:9" s="5" customFormat="1" ht="20.100000000000001" customHeight="1">
      <c r="A58" s="8" t="s">
        <v>150</v>
      </c>
      <c r="B58" s="9">
        <v>1151</v>
      </c>
      <c r="C58" s="302">
        <f>'I. Фін результат'!C110</f>
        <v>0</v>
      </c>
      <c r="D58" s="302">
        <f>'I. Фін результат'!D110</f>
        <v>0</v>
      </c>
      <c r="E58" s="302">
        <f>'I. Фін результат'!E110</f>
        <v>0</v>
      </c>
      <c r="F58" s="318">
        <f>'I. Фін результат'!F110</f>
        <v>0</v>
      </c>
      <c r="G58" s="104">
        <f t="shared" si="1"/>
        <v>0</v>
      </c>
      <c r="H58" s="152" t="e">
        <f t="shared" si="0"/>
        <v>#DIV/0!</v>
      </c>
      <c r="I58" s="3"/>
    </row>
    <row r="59" spans="1:9" s="5" customFormat="1" ht="20.100000000000001" customHeight="1">
      <c r="A59" s="8" t="s">
        <v>256</v>
      </c>
      <c r="B59" s="9">
        <v>1160</v>
      </c>
      <c r="C59" s="302">
        <f>'I. Фін результат'!C115</f>
        <v>0</v>
      </c>
      <c r="D59" s="302">
        <f>'I. Фін результат'!D115</f>
        <v>0</v>
      </c>
      <c r="E59" s="302">
        <f>'I. Фін результат'!E115</f>
        <v>0</v>
      </c>
      <c r="F59" s="318">
        <f>'I. Фін результат'!F115</f>
        <v>0</v>
      </c>
      <c r="G59" s="104">
        <f t="shared" si="1"/>
        <v>0</v>
      </c>
      <c r="H59" s="152" t="e">
        <f t="shared" si="0"/>
        <v>#DIV/0!</v>
      </c>
      <c r="I59" s="3"/>
    </row>
    <row r="60" spans="1:9" s="5" customFormat="1" ht="20.100000000000001" customHeight="1">
      <c r="A60" s="8" t="s">
        <v>150</v>
      </c>
      <c r="B60" s="9">
        <v>1161</v>
      </c>
      <c r="C60" s="302" t="str">
        <f>'I. Фін результат'!C116</f>
        <v>(    )</v>
      </c>
      <c r="D60" s="302">
        <f>'I. Фін результат'!D116</f>
        <v>0</v>
      </c>
      <c r="E60" s="302" t="str">
        <f>'I. Фін результат'!E116</f>
        <v>(    )</v>
      </c>
      <c r="F60" s="318">
        <f>'I. Фін результат'!F116</f>
        <v>0</v>
      </c>
      <c r="G60" s="150" t="e">
        <f t="shared" si="1"/>
        <v>#VALUE!</v>
      </c>
      <c r="H60" s="152" t="e">
        <f t="shared" si="0"/>
        <v>#VALUE!</v>
      </c>
      <c r="I60" s="3"/>
    </row>
    <row r="61" spans="1:9" s="5" customFormat="1" ht="20.100000000000001" customHeight="1">
      <c r="A61" s="186" t="s">
        <v>87</v>
      </c>
      <c r="B61" s="187">
        <v>1170</v>
      </c>
      <c r="C61" s="196">
        <f>SUM(C50,C53:C57,C59)</f>
        <v>16866</v>
      </c>
      <c r="D61" s="196">
        <f>SUM(D50,D53:D57,D59)</f>
        <v>9017</v>
      </c>
      <c r="E61" s="196">
        <f>SUM(E50,E53:E57,E59)</f>
        <v>3294</v>
      </c>
      <c r="F61" s="197">
        <f>SUM(F50,F53:F57,F59)</f>
        <v>9017</v>
      </c>
      <c r="G61" s="165">
        <f t="shared" si="1"/>
        <v>5723</v>
      </c>
      <c r="H61" s="185">
        <f t="shared" si="0"/>
        <v>273.74013357619913</v>
      </c>
      <c r="I61" s="3"/>
    </row>
    <row r="62" spans="1:9" s="5" customFormat="1" ht="20.100000000000001" customHeight="1">
      <c r="A62" s="8" t="s">
        <v>248</v>
      </c>
      <c r="B62" s="7">
        <v>1180</v>
      </c>
      <c r="C62" s="302">
        <f>'I. Фін результат'!C119</f>
        <v>-3326</v>
      </c>
      <c r="D62" s="302">
        <f>'I. Фін результат'!D119</f>
        <v>-2535</v>
      </c>
      <c r="E62" s="302">
        <f>'I. Фін результат'!E119</f>
        <v>-594</v>
      </c>
      <c r="F62" s="318">
        <f>'I. Фін результат'!F119</f>
        <v>-2535</v>
      </c>
      <c r="G62" s="104">
        <f t="shared" si="1"/>
        <v>-1941</v>
      </c>
      <c r="H62" s="140">
        <f t="shared" si="0"/>
        <v>426.76767676767673</v>
      </c>
      <c r="I62" s="3"/>
    </row>
    <row r="63" spans="1:9" s="5" customFormat="1" ht="20.100000000000001" customHeight="1">
      <c r="A63" s="8" t="s">
        <v>249</v>
      </c>
      <c r="B63" s="7">
        <v>1181</v>
      </c>
      <c r="C63" s="302">
        <f>'I. Фін результат'!C120</f>
        <v>0</v>
      </c>
      <c r="D63" s="302">
        <f>'I. Фін результат'!D120</f>
        <v>0</v>
      </c>
      <c r="E63" s="302">
        <f>'I. Фін результат'!E120</f>
        <v>0</v>
      </c>
      <c r="F63" s="318">
        <f>'I. Фін результат'!F120</f>
        <v>0</v>
      </c>
      <c r="G63" s="104">
        <f t="shared" si="1"/>
        <v>0</v>
      </c>
      <c r="H63" s="152" t="e">
        <f t="shared" si="0"/>
        <v>#DIV/0!</v>
      </c>
      <c r="I63" s="3"/>
    </row>
    <row r="64" spans="1:9" s="5" customFormat="1" ht="20.100000000000001" customHeight="1">
      <c r="A64" s="8" t="s">
        <v>250</v>
      </c>
      <c r="B64" s="9">
        <v>1190</v>
      </c>
      <c r="C64" s="302">
        <f>'I. Фін результат'!C121</f>
        <v>0</v>
      </c>
      <c r="D64" s="302">
        <f>'I. Фін результат'!D121</f>
        <v>0</v>
      </c>
      <c r="E64" s="302">
        <f>'I. Фін результат'!E121</f>
        <v>0</v>
      </c>
      <c r="F64" s="318">
        <f>'I. Фін результат'!F121</f>
        <v>0</v>
      </c>
      <c r="G64" s="104">
        <f t="shared" si="1"/>
        <v>0</v>
      </c>
      <c r="H64" s="152" t="e">
        <f t="shared" si="0"/>
        <v>#DIV/0!</v>
      </c>
      <c r="I64" s="3"/>
    </row>
    <row r="65" spans="1:9" s="5" customFormat="1" ht="20.100000000000001" customHeight="1">
      <c r="A65" s="8" t="s">
        <v>251</v>
      </c>
      <c r="B65" s="6">
        <v>1191</v>
      </c>
      <c r="C65" s="302" t="str">
        <f>'I. Фін результат'!C122</f>
        <v>(    )</v>
      </c>
      <c r="D65" s="302">
        <f>'I. Фін результат'!D122</f>
        <v>0</v>
      </c>
      <c r="E65" s="302">
        <f>'I. Фін результат'!E122</f>
        <v>0</v>
      </c>
      <c r="F65" s="318">
        <f>'I. Фін результат'!F122</f>
        <v>0</v>
      </c>
      <c r="G65" s="150">
        <f t="shared" si="1"/>
        <v>0</v>
      </c>
      <c r="H65" s="152" t="e">
        <f t="shared" si="0"/>
        <v>#DIV/0!</v>
      </c>
      <c r="I65" s="3"/>
    </row>
    <row r="66" spans="1:9" s="5" customFormat="1" ht="20.100000000000001" customHeight="1">
      <c r="A66" s="173" t="s">
        <v>289</v>
      </c>
      <c r="B66" s="188">
        <v>1200</v>
      </c>
      <c r="C66" s="196">
        <f>SUM(C61:C65)</f>
        <v>13540</v>
      </c>
      <c r="D66" s="196">
        <f>SUM(D61:D65)</f>
        <v>6482</v>
      </c>
      <c r="E66" s="196">
        <f>SUM(E61:E65)</f>
        <v>2700</v>
      </c>
      <c r="F66" s="197">
        <f>SUM(F61:F65)</f>
        <v>6482</v>
      </c>
      <c r="G66" s="165">
        <f t="shared" si="1"/>
        <v>3782</v>
      </c>
      <c r="H66" s="185">
        <f t="shared" si="0"/>
        <v>240.07407407407408</v>
      </c>
      <c r="I66" s="3"/>
    </row>
    <row r="67" spans="1:9" s="5" customFormat="1" ht="20.100000000000001" customHeight="1">
      <c r="A67" s="8" t="s">
        <v>419</v>
      </c>
      <c r="B67" s="6">
        <v>1201</v>
      </c>
      <c r="C67" s="302">
        <f>C61+C62</f>
        <v>13540</v>
      </c>
      <c r="D67" s="302">
        <f>D66</f>
        <v>6482</v>
      </c>
      <c r="E67" s="302">
        <f>E66</f>
        <v>2700</v>
      </c>
      <c r="F67" s="318">
        <f>F66</f>
        <v>6482</v>
      </c>
      <c r="G67" s="104">
        <f t="shared" si="1"/>
        <v>3782</v>
      </c>
      <c r="H67" s="152">
        <f t="shared" si="0"/>
        <v>240.07407407407408</v>
      </c>
      <c r="I67" s="3"/>
    </row>
    <row r="68" spans="1:9" s="5" customFormat="1" ht="20.100000000000001" customHeight="1">
      <c r="A68" s="8" t="s">
        <v>420</v>
      </c>
      <c r="B68" s="6">
        <v>1202</v>
      </c>
      <c r="C68" s="302" t="str">
        <f>'I. Фін результат'!C125</f>
        <v>(    )</v>
      </c>
      <c r="D68" s="302" t="str">
        <f>'I. Фін результат'!D125</f>
        <v>-</v>
      </c>
      <c r="E68" s="302" t="str">
        <f>'I. Фін результат'!E125</f>
        <v>-</v>
      </c>
      <c r="F68" s="318" t="str">
        <f>'I. Фін результат'!F125</f>
        <v>-</v>
      </c>
      <c r="G68" s="150" t="e">
        <f t="shared" si="1"/>
        <v>#VALUE!</v>
      </c>
      <c r="H68" s="152" t="e">
        <f t="shared" si="0"/>
        <v>#VALUE!</v>
      </c>
      <c r="I68" s="3"/>
    </row>
    <row r="69" spans="1:9" s="5" customFormat="1" ht="20.100000000000001" customHeight="1">
      <c r="A69" s="10" t="s">
        <v>19</v>
      </c>
      <c r="B69" s="9">
        <v>1210</v>
      </c>
      <c r="C69" s="290">
        <f>SUM(C34,C44,C53,C55,C57,C63,C64)</f>
        <v>204924</v>
      </c>
      <c r="D69" s="290">
        <f>SUM(D34,D44,D53,D55,D57,D63,D64)</f>
        <v>183193</v>
      </c>
      <c r="E69" s="290">
        <f>SUM(E34,E44,E53,E55,E57,E63,E64)</f>
        <v>211722</v>
      </c>
      <c r="F69" s="319">
        <f>SUM(F34,F44,F53,F55,F57,F63,F64)</f>
        <v>183193</v>
      </c>
      <c r="G69" s="111">
        <f t="shared" si="1"/>
        <v>-28529</v>
      </c>
      <c r="H69" s="141">
        <f t="shared" si="0"/>
        <v>86.525254815276625</v>
      </c>
      <c r="I69" s="3"/>
    </row>
    <row r="70" spans="1:9" s="5" customFormat="1" ht="20.100000000000001" customHeight="1">
      <c r="A70" s="10" t="s">
        <v>104</v>
      </c>
      <c r="B70" s="9">
        <v>1220</v>
      </c>
      <c r="C70" s="290">
        <f>SUM(C35,C37,C43,C47,C54,C56,C59,C62,C65)</f>
        <v>-191384</v>
      </c>
      <c r="D70" s="290">
        <f>SUM(D35,D37,D43,D47,D54,D56,D59,D62,D65)</f>
        <v>-176711</v>
      </c>
      <c r="E70" s="290">
        <f>SUM(E35,E37,E43,E47,E54,E56,E59,E62,E65)</f>
        <v>-209022</v>
      </c>
      <c r="F70" s="319">
        <f>SUM(F35,F37,F43,F47,F54,F56,F59,F62,F65)</f>
        <v>-176711</v>
      </c>
      <c r="G70" s="111">
        <f t="shared" si="1"/>
        <v>32311</v>
      </c>
      <c r="H70" s="141">
        <f t="shared" si="0"/>
        <v>84.541818564553012</v>
      </c>
      <c r="I70" s="3"/>
    </row>
    <row r="71" spans="1:9" s="5" customFormat="1" ht="20.100000000000001" customHeight="1">
      <c r="A71" s="8" t="s">
        <v>181</v>
      </c>
      <c r="B71" s="9">
        <v>1230</v>
      </c>
      <c r="C71" s="302"/>
      <c r="D71" s="302"/>
      <c r="E71" s="302"/>
      <c r="F71" s="302"/>
      <c r="G71" s="104">
        <f t="shared" si="1"/>
        <v>0</v>
      </c>
      <c r="H71" s="152" t="e">
        <f t="shared" si="0"/>
        <v>#DIV/0!</v>
      </c>
      <c r="I71" s="3"/>
    </row>
    <row r="72" spans="1:9" s="5" customFormat="1" ht="20.100000000000001" customHeight="1">
      <c r="A72" s="10" t="s">
        <v>157</v>
      </c>
      <c r="B72" s="9"/>
      <c r="C72" s="307"/>
      <c r="D72" s="317"/>
      <c r="E72" s="317"/>
      <c r="F72" s="317"/>
      <c r="G72" s="104">
        <f t="shared" si="1"/>
        <v>0</v>
      </c>
      <c r="H72" s="152" t="e">
        <f t="shared" si="0"/>
        <v>#DIV/0!</v>
      </c>
      <c r="I72" s="3"/>
    </row>
    <row r="73" spans="1:9" s="5" customFormat="1" ht="20.100000000000001" customHeight="1">
      <c r="A73" s="8" t="s">
        <v>192</v>
      </c>
      <c r="B73" s="9">
        <v>1400</v>
      </c>
      <c r="C73" s="302">
        <f>'I. Фін результат'!C138</f>
        <v>8316</v>
      </c>
      <c r="D73" s="302">
        <f>'I. Фін результат'!D138</f>
        <v>11812</v>
      </c>
      <c r="E73" s="302">
        <f>'I. Фін результат'!E138</f>
        <v>23161</v>
      </c>
      <c r="F73" s="318">
        <f>'I. Фін результат'!F138</f>
        <v>11812</v>
      </c>
      <c r="G73" s="104">
        <f t="shared" si="1"/>
        <v>-11349</v>
      </c>
      <c r="H73" s="140">
        <f t="shared" si="0"/>
        <v>50.999525063684651</v>
      </c>
      <c r="I73" s="3"/>
    </row>
    <row r="74" spans="1:9" s="5" customFormat="1" ht="20.100000000000001" customHeight="1">
      <c r="A74" s="8" t="s">
        <v>193</v>
      </c>
      <c r="B74" s="39">
        <v>1401</v>
      </c>
      <c r="C74" s="302">
        <f>'I. Фін результат'!C139</f>
        <v>3785</v>
      </c>
      <c r="D74" s="302">
        <f>'I. Фін результат'!D139</f>
        <v>3674</v>
      </c>
      <c r="E74" s="302">
        <f>'I. Фін результат'!E139</f>
        <v>8761</v>
      </c>
      <c r="F74" s="318">
        <f>'I. Фін результат'!F139</f>
        <v>3674</v>
      </c>
      <c r="G74" s="104">
        <f t="shared" si="1"/>
        <v>-5087</v>
      </c>
      <c r="H74" s="140">
        <f t="shared" si="0"/>
        <v>41.935852071681317</v>
      </c>
      <c r="I74" s="3"/>
    </row>
    <row r="75" spans="1:9" s="5" customFormat="1" ht="20.100000000000001" customHeight="1">
      <c r="A75" s="8" t="s">
        <v>28</v>
      </c>
      <c r="B75" s="39">
        <v>1402</v>
      </c>
      <c r="C75" s="302">
        <f>'I. Фін результат'!C140</f>
        <v>4531</v>
      </c>
      <c r="D75" s="302">
        <f>'I. Фін результат'!D140</f>
        <v>8138</v>
      </c>
      <c r="E75" s="302">
        <f>'I. Фін результат'!E140</f>
        <v>14400</v>
      </c>
      <c r="F75" s="318">
        <f>'I. Фін результат'!F140</f>
        <v>8138</v>
      </c>
      <c r="G75" s="104">
        <f t="shared" si="1"/>
        <v>-6262</v>
      </c>
      <c r="H75" s="140">
        <f t="shared" si="0"/>
        <v>56.513888888888886</v>
      </c>
      <c r="I75" s="3"/>
    </row>
    <row r="76" spans="1:9" s="5" customFormat="1" ht="20.100000000000001" customHeight="1">
      <c r="A76" s="8" t="s">
        <v>5</v>
      </c>
      <c r="B76" s="14">
        <v>1410</v>
      </c>
      <c r="C76" s="302">
        <f>'I. Фін результат'!C141</f>
        <v>81647</v>
      </c>
      <c r="D76" s="302">
        <f>'I. Фін результат'!D141</f>
        <v>89514</v>
      </c>
      <c r="E76" s="302">
        <f>'I. Фін результат'!E141</f>
        <v>99260</v>
      </c>
      <c r="F76" s="318">
        <f>'I. Фін результат'!F141</f>
        <v>89514</v>
      </c>
      <c r="G76" s="104">
        <f t="shared" si="1"/>
        <v>-9746</v>
      </c>
      <c r="H76" s="140">
        <f t="shared" si="0"/>
        <v>90.181341930284091</v>
      </c>
      <c r="I76" s="3"/>
    </row>
    <row r="77" spans="1:9" s="5" customFormat="1" ht="20.100000000000001" customHeight="1">
      <c r="A77" s="8" t="s">
        <v>6</v>
      </c>
      <c r="B77" s="14">
        <v>1420</v>
      </c>
      <c r="C77" s="302">
        <f>'I. Фін результат'!C142</f>
        <v>17110</v>
      </c>
      <c r="D77" s="302">
        <f>'I. Фін результат'!D142</f>
        <v>19357</v>
      </c>
      <c r="E77" s="302">
        <f>'I. Фін результат'!E142</f>
        <v>21947</v>
      </c>
      <c r="F77" s="318">
        <f>'I. Фін результат'!F142</f>
        <v>19357</v>
      </c>
      <c r="G77" s="104">
        <f t="shared" si="1"/>
        <v>-2590</v>
      </c>
      <c r="H77" s="140">
        <f t="shared" si="0"/>
        <v>88.198842666423658</v>
      </c>
      <c r="I77" s="3"/>
    </row>
    <row r="78" spans="1:9" s="5" customFormat="1" ht="20.100000000000001" customHeight="1">
      <c r="A78" s="8" t="s">
        <v>7</v>
      </c>
      <c r="B78" s="14">
        <v>1430</v>
      </c>
      <c r="C78" s="302">
        <f>'I. Фін результат'!C143</f>
        <v>9828</v>
      </c>
      <c r="D78" s="302">
        <f>'I. Фін результат'!D143</f>
        <v>15127</v>
      </c>
      <c r="E78" s="302">
        <f>'I. Фін результат'!E143</f>
        <v>15610</v>
      </c>
      <c r="F78" s="318">
        <f>'I. Фін результат'!F143</f>
        <v>15127</v>
      </c>
      <c r="G78" s="104">
        <f t="shared" si="1"/>
        <v>-483</v>
      </c>
      <c r="H78" s="140">
        <f t="shared" si="0"/>
        <v>96.905829596412545</v>
      </c>
      <c r="I78" s="3"/>
    </row>
    <row r="79" spans="1:9" s="5" customFormat="1" ht="20.100000000000001" customHeight="1">
      <c r="A79" s="8" t="s">
        <v>29</v>
      </c>
      <c r="B79" s="14">
        <v>1440</v>
      </c>
      <c r="C79" s="302">
        <f>'I. Фін результат'!C144</f>
        <v>71157</v>
      </c>
      <c r="D79" s="302">
        <f>'I. Фін результат'!D144</f>
        <v>38366</v>
      </c>
      <c r="E79" s="302">
        <f>'I. Фін результат'!E144</f>
        <v>48450</v>
      </c>
      <c r="F79" s="318">
        <f>'I. Фін результат'!F144</f>
        <v>38366</v>
      </c>
      <c r="G79" s="104">
        <f t="shared" si="1"/>
        <v>-10084</v>
      </c>
      <c r="H79" s="140">
        <f t="shared" si="0"/>
        <v>79.186790505675958</v>
      </c>
      <c r="I79" s="3"/>
    </row>
    <row r="80" spans="1:9" s="5" customFormat="1" ht="20.100000000000001" customHeight="1" thickBot="1">
      <c r="A80" s="10" t="s">
        <v>53</v>
      </c>
      <c r="B80" s="14">
        <v>1450</v>
      </c>
      <c r="C80" s="290">
        <f>SUM(C73,C76,C77,C78,C79)</f>
        <v>188058</v>
      </c>
      <c r="D80" s="290">
        <f>SUM(D73,D76,D77,D78,D79)</f>
        <v>174176</v>
      </c>
      <c r="E80" s="290">
        <f>SUM(E73,E76,E77,E78,E79)</f>
        <v>208428</v>
      </c>
      <c r="F80" s="319">
        <f>SUM(F73,F76,F77,F78,F79)</f>
        <v>174176</v>
      </c>
      <c r="G80" s="111">
        <f t="shared" si="1"/>
        <v>-34252</v>
      </c>
      <c r="H80" s="141">
        <f t="shared" si="0"/>
        <v>83.566507379046968</v>
      </c>
      <c r="I80" s="3"/>
    </row>
    <row r="81" spans="1:9" s="5" customFormat="1" ht="19.5" thickBot="1">
      <c r="A81" s="401" t="s">
        <v>120</v>
      </c>
      <c r="B81" s="402"/>
      <c r="C81" s="402"/>
      <c r="D81" s="402"/>
      <c r="E81" s="402"/>
      <c r="F81" s="402"/>
      <c r="G81" s="402"/>
      <c r="H81" s="403"/>
      <c r="I81" s="3"/>
    </row>
    <row r="82" spans="1:9" s="5" customFormat="1">
      <c r="A82" s="410" t="s">
        <v>119</v>
      </c>
      <c r="B82" s="411"/>
      <c r="C82" s="411"/>
      <c r="D82" s="411"/>
      <c r="E82" s="411"/>
      <c r="F82" s="411"/>
      <c r="G82" s="411"/>
      <c r="H82" s="412"/>
    </row>
    <row r="83" spans="1:9" s="5" customFormat="1" ht="37.5" customHeight="1">
      <c r="A83" s="128" t="s">
        <v>55</v>
      </c>
      <c r="B83" s="117">
        <v>2000</v>
      </c>
      <c r="C83" s="302">
        <f>'ІІ. Розр. з бюджетом'!C7</f>
        <v>0</v>
      </c>
      <c r="D83" s="302">
        <f>'ІІ. Розр. з бюджетом'!D7</f>
        <v>-13445.4</v>
      </c>
      <c r="E83" s="302">
        <f>'ІІ. Розр. з бюджетом'!E7</f>
        <v>0</v>
      </c>
      <c r="F83" s="302">
        <f>'ІІ. Розр. з бюджетом'!F7</f>
        <v>-13445.4</v>
      </c>
      <c r="G83" s="110">
        <f t="shared" ref="G83:G93" si="2">F83-E83</f>
        <v>-13445.4</v>
      </c>
      <c r="H83" s="140" t="e">
        <f t="shared" ref="H83:H128" si="3">(F83/E83)*100</f>
        <v>#DIV/0!</v>
      </c>
    </row>
    <row r="84" spans="1:9" s="5" customFormat="1" ht="39.75" customHeight="1">
      <c r="A84" s="46" t="s">
        <v>257</v>
      </c>
      <c r="B84" s="6">
        <v>2010</v>
      </c>
      <c r="C84" s="302">
        <f>SUM(C85:C86)</f>
        <v>-10155</v>
      </c>
      <c r="D84" s="302">
        <f>SUM(D85:D86)</f>
        <v>-4861</v>
      </c>
      <c r="E84" s="302">
        <f>SUM(E85:E86)</f>
        <v>-2025</v>
      </c>
      <c r="F84" s="302">
        <f>SUM(F85:F86)</f>
        <v>-4861</v>
      </c>
      <c r="G84" s="104">
        <f t="shared" si="2"/>
        <v>-2836</v>
      </c>
      <c r="H84" s="140">
        <f t="shared" si="3"/>
        <v>240.04938271604939</v>
      </c>
    </row>
    <row r="85" spans="1:9" s="5" customFormat="1" ht="37.5" customHeight="1">
      <c r="A85" s="8" t="s">
        <v>144</v>
      </c>
      <c r="B85" s="6">
        <v>2011</v>
      </c>
      <c r="C85" s="302">
        <f>'ІІ. Розр. з бюджетом'!C9</f>
        <v>-10155</v>
      </c>
      <c r="D85" s="302">
        <f>'ІІ. Розр. з бюджетом'!D9</f>
        <v>-4861</v>
      </c>
      <c r="E85" s="302">
        <f>'ІІ. Розр. з бюджетом'!E9</f>
        <v>-2025</v>
      </c>
      <c r="F85" s="302">
        <f>'ІІ. Розр. з бюджетом'!F9</f>
        <v>-4861</v>
      </c>
      <c r="G85" s="104">
        <f t="shared" si="2"/>
        <v>-2836</v>
      </c>
      <c r="H85" s="140">
        <f t="shared" si="3"/>
        <v>240.04938271604939</v>
      </c>
    </row>
    <row r="86" spans="1:9" s="5" customFormat="1" ht="39.75" customHeight="1">
      <c r="A86" s="8" t="s">
        <v>382</v>
      </c>
      <c r="B86" s="6">
        <v>2012</v>
      </c>
      <c r="C86" s="302" t="str">
        <f>'ІІ. Розр. з бюджетом'!C10</f>
        <v>(    )</v>
      </c>
      <c r="D86" s="302" t="str">
        <f>'ІІ. Розр. з бюджетом'!D10</f>
        <v>(    )</v>
      </c>
      <c r="E86" s="302" t="str">
        <f>'ІІ. Розр. з бюджетом'!E10</f>
        <v>(    )</v>
      </c>
      <c r="F86" s="302" t="str">
        <f>'ІІ. Розр. з бюджетом'!F10</f>
        <v>(    )</v>
      </c>
      <c r="G86" s="150" t="e">
        <f t="shared" si="2"/>
        <v>#VALUE!</v>
      </c>
      <c r="H86" s="152" t="e">
        <f t="shared" si="3"/>
        <v>#VALUE!</v>
      </c>
    </row>
    <row r="87" spans="1:9" s="5" customFormat="1">
      <c r="A87" s="8" t="s">
        <v>128</v>
      </c>
      <c r="B87" s="6" t="s">
        <v>151</v>
      </c>
      <c r="C87" s="302" t="str">
        <f>'ІІ. Розр. з бюджетом'!C11</f>
        <v>(    )</v>
      </c>
      <c r="D87" s="302" t="str">
        <f>'ІІ. Розр. з бюджетом'!D11</f>
        <v>(    )</v>
      </c>
      <c r="E87" s="302" t="str">
        <f>'ІІ. Розр. з бюджетом'!E11</f>
        <v>(    )</v>
      </c>
      <c r="F87" s="302" t="str">
        <f>'ІІ. Розр. з бюджетом'!F11</f>
        <v>(    )</v>
      </c>
      <c r="G87" s="151" t="e">
        <f t="shared" si="2"/>
        <v>#VALUE!</v>
      </c>
      <c r="H87" s="152" t="e">
        <f t="shared" si="3"/>
        <v>#VALUE!</v>
      </c>
    </row>
    <row r="88" spans="1:9" s="5" customFormat="1">
      <c r="A88" s="8" t="s">
        <v>137</v>
      </c>
      <c r="B88" s="6">
        <v>2020</v>
      </c>
      <c r="C88" s="302">
        <f>'ІІ. Розр. з бюджетом'!C12</f>
        <v>0</v>
      </c>
      <c r="D88" s="302">
        <f>'ІІ. Розр. з бюджетом'!D12</f>
        <v>0</v>
      </c>
      <c r="E88" s="302">
        <f>'ІІ. Розр. з бюджетом'!E12</f>
        <v>0</v>
      </c>
      <c r="F88" s="302">
        <f>'ІІ. Розр. з бюджетом'!F12</f>
        <v>0</v>
      </c>
      <c r="G88" s="104">
        <f t="shared" si="2"/>
        <v>0</v>
      </c>
      <c r="H88" s="152" t="e">
        <f t="shared" si="3"/>
        <v>#DIV/0!</v>
      </c>
    </row>
    <row r="89" spans="1:9" s="5" customFormat="1">
      <c r="A89" s="46" t="s">
        <v>65</v>
      </c>
      <c r="B89" s="6">
        <v>2030</v>
      </c>
      <c r="C89" s="302">
        <f>'ІІ. Розр. з бюджетом'!C13</f>
        <v>0</v>
      </c>
      <c r="D89" s="302" t="str">
        <f>'ІІ. Розр. з бюджетом'!D13</f>
        <v>-</v>
      </c>
      <c r="E89" s="302">
        <f>'ІІ. Розр. з бюджетом'!E13</f>
        <v>0</v>
      </c>
      <c r="F89" s="302" t="str">
        <f>'ІІ. Розр. з бюджетом'!F13</f>
        <v>-</v>
      </c>
      <c r="G89" s="150" t="e">
        <f t="shared" si="2"/>
        <v>#VALUE!</v>
      </c>
      <c r="H89" s="152" t="e">
        <f t="shared" si="3"/>
        <v>#VALUE!</v>
      </c>
    </row>
    <row r="90" spans="1:9" s="5" customFormat="1">
      <c r="A90" s="46" t="s">
        <v>27</v>
      </c>
      <c r="B90" s="6">
        <v>2040</v>
      </c>
      <c r="C90" s="302" t="str">
        <f>'ІІ. Розр. з бюджетом'!C15</f>
        <v>(    )</v>
      </c>
      <c r="D90" s="302" t="str">
        <f>'ІІ. Розр. з бюджетом'!D15</f>
        <v>(    )</v>
      </c>
      <c r="E90" s="302" t="str">
        <f>'ІІ. Розр. з бюджетом'!E15</f>
        <v>(    )</v>
      </c>
      <c r="F90" s="302" t="str">
        <f>'ІІ. Розр. з бюджетом'!F15</f>
        <v>(    )</v>
      </c>
      <c r="G90" s="150" t="e">
        <f t="shared" si="2"/>
        <v>#VALUE!</v>
      </c>
      <c r="H90" s="152" t="e">
        <f t="shared" si="3"/>
        <v>#VALUE!</v>
      </c>
    </row>
    <row r="91" spans="1:9" s="5" customFormat="1">
      <c r="A91" s="46" t="s">
        <v>239</v>
      </c>
      <c r="B91" s="6">
        <v>2050</v>
      </c>
      <c r="C91" s="302">
        <f>'ІІ. Розр. з бюджетом'!C16</f>
        <v>-721.4</v>
      </c>
      <c r="D91" s="302" t="str">
        <f>'ІІ. Розр. з бюджетом'!D16</f>
        <v>-</v>
      </c>
      <c r="E91" s="302" t="str">
        <f>'ІІ. Розр. з бюджетом'!E16</f>
        <v>(    )</v>
      </c>
      <c r="F91" s="302" t="str">
        <f>'ІІ. Розр. з бюджетом'!F16</f>
        <v>-</v>
      </c>
      <c r="G91" s="150" t="e">
        <f t="shared" si="2"/>
        <v>#VALUE!</v>
      </c>
      <c r="H91" s="152" t="e">
        <f t="shared" si="3"/>
        <v>#VALUE!</v>
      </c>
    </row>
    <row r="92" spans="1:9" s="5" customFormat="1">
      <c r="A92" s="46" t="s">
        <v>240</v>
      </c>
      <c r="B92" s="6">
        <v>2060</v>
      </c>
      <c r="C92" s="302">
        <f>'ІІ. Розр. з бюджетом'!C19</f>
        <v>-16109</v>
      </c>
      <c r="D92" s="302">
        <f>'ІІ. Розр. з бюджетом'!D19</f>
        <v>-715</v>
      </c>
      <c r="E92" s="302">
        <f>'ІІ. Розр. з бюджетом'!E19</f>
        <v>-13933.4</v>
      </c>
      <c r="F92" s="302">
        <f>'ІІ. Розр. з бюджетом'!F19</f>
        <v>-715</v>
      </c>
      <c r="G92" s="104"/>
      <c r="H92" s="140"/>
    </row>
    <row r="93" spans="1:9" s="5" customFormat="1" ht="41.25" customHeight="1">
      <c r="A93" s="46" t="s">
        <v>56</v>
      </c>
      <c r="B93" s="6">
        <v>2070</v>
      </c>
      <c r="C93" s="287">
        <f>SUM(C83,C84,C88,C89,C90,C91,C92)+C66</f>
        <v>-13445.400000000001</v>
      </c>
      <c r="D93" s="287">
        <f>SUM(D83,D84,D88,D89,D90,D91,D92)+D66</f>
        <v>-12539.400000000001</v>
      </c>
      <c r="E93" s="287">
        <f>SUM(E83,E84,E88,E89,E90,E91,E92)+E66</f>
        <v>-13258.4</v>
      </c>
      <c r="F93" s="287">
        <f>SUM(F83,F84,F88,F89,F90,F91,F92)+F66</f>
        <v>-12539.400000000001</v>
      </c>
      <c r="G93" s="104">
        <f t="shared" si="2"/>
        <v>718.99999999999818</v>
      </c>
      <c r="H93" s="140">
        <f t="shared" si="3"/>
        <v>94.577022868521098</v>
      </c>
    </row>
    <row r="94" spans="1:9" s="5" customFormat="1" ht="21.75" customHeight="1">
      <c r="A94" s="407" t="s">
        <v>367</v>
      </c>
      <c r="B94" s="408"/>
      <c r="C94" s="408"/>
      <c r="D94" s="408"/>
      <c r="E94" s="408"/>
      <c r="F94" s="408"/>
      <c r="G94" s="408"/>
      <c r="H94" s="409"/>
    </row>
    <row r="95" spans="1:9" s="5" customFormat="1" ht="41.25" customHeight="1">
      <c r="A95" s="164" t="s">
        <v>359</v>
      </c>
      <c r="B95" s="189">
        <v>2110</v>
      </c>
      <c r="C95" s="196">
        <f>'ІІ. Розр. з бюджетом'!C24</f>
        <v>99689.8</v>
      </c>
      <c r="D95" s="196">
        <f>'ІІ. Розр. з бюджетом'!D24</f>
        <v>7812</v>
      </c>
      <c r="E95" s="196">
        <f>'ІІ. Розр. з бюджетом'!E24</f>
        <v>7966</v>
      </c>
      <c r="F95" s="196">
        <f>'ІІ. Розр. з бюджетом'!F24</f>
        <v>7812</v>
      </c>
      <c r="G95" s="165">
        <f t="shared" ref="G95:G106" si="4">F95-E95</f>
        <v>-154</v>
      </c>
      <c r="H95" s="185">
        <f t="shared" si="3"/>
        <v>98.066783831282962</v>
      </c>
    </row>
    <row r="96" spans="1:9" s="5" customFormat="1">
      <c r="A96" s="8" t="s">
        <v>263</v>
      </c>
      <c r="B96" s="6">
        <v>2111</v>
      </c>
      <c r="C96" s="287">
        <f>'ІІ. Розр. з бюджетом'!C25</f>
        <v>23609</v>
      </c>
      <c r="D96" s="287">
        <f>'ІІ. Розр. з бюджетом'!D25</f>
        <v>1183</v>
      </c>
      <c r="E96" s="287">
        <f>'ІІ. Розр. з бюджетом'!E25</f>
        <v>3231</v>
      </c>
      <c r="F96" s="287">
        <f>'ІІ. Розр. з бюджетом'!F25</f>
        <v>1183</v>
      </c>
      <c r="G96" s="104">
        <f t="shared" si="4"/>
        <v>-2048</v>
      </c>
      <c r="H96" s="152">
        <f t="shared" si="3"/>
        <v>36.614051377282578</v>
      </c>
    </row>
    <row r="97" spans="1:8" s="5" customFormat="1">
      <c r="A97" s="8" t="s">
        <v>360</v>
      </c>
      <c r="B97" s="6">
        <v>2112</v>
      </c>
      <c r="C97" s="287">
        <f>'ІІ. Розр. з бюджетом'!C26</f>
        <v>165</v>
      </c>
      <c r="D97" s="287">
        <f>'ІІ. Розр. з бюджетом'!D26</f>
        <v>167</v>
      </c>
      <c r="E97" s="287">
        <f>'ІІ. Розр. з бюджетом'!E26</f>
        <v>130</v>
      </c>
      <c r="F97" s="287">
        <f>'ІІ. Розр. з бюджетом'!F26</f>
        <v>167</v>
      </c>
      <c r="G97" s="104">
        <f t="shared" si="4"/>
        <v>37</v>
      </c>
      <c r="H97" s="140">
        <f t="shared" si="3"/>
        <v>128.46153846153848</v>
      </c>
    </row>
    <row r="98" spans="1:8" s="5" customFormat="1" ht="19.5" customHeight="1">
      <c r="A98" s="46" t="s">
        <v>361</v>
      </c>
      <c r="B98" s="7">
        <v>2113</v>
      </c>
      <c r="C98" s="287">
        <f>'ІІ. Розр. з бюджетом'!C27</f>
        <v>0</v>
      </c>
      <c r="D98" s="287">
        <f>'ІІ. Розр. з бюджетом'!D27</f>
        <v>0</v>
      </c>
      <c r="E98" s="287">
        <f>'ІІ. Розр. з бюджетом'!E27</f>
        <v>0</v>
      </c>
      <c r="F98" s="287">
        <f>'ІІ. Розр. з бюджетом'!F27</f>
        <v>0</v>
      </c>
      <c r="G98" s="104">
        <f t="shared" si="4"/>
        <v>0</v>
      </c>
      <c r="H98" s="152" t="e">
        <f t="shared" si="3"/>
        <v>#DIV/0!</v>
      </c>
    </row>
    <row r="99" spans="1:8" s="5" customFormat="1">
      <c r="A99" s="46" t="s">
        <v>77</v>
      </c>
      <c r="B99" s="7">
        <v>2114</v>
      </c>
      <c r="C99" s="287">
        <f>'ІІ. Розр. з бюджетом'!C28</f>
        <v>0</v>
      </c>
      <c r="D99" s="287">
        <f>'ІІ. Розр. з бюджетом'!D28</f>
        <v>0</v>
      </c>
      <c r="E99" s="287">
        <f>'ІІ. Розр. з бюджетом'!E28</f>
        <v>0</v>
      </c>
      <c r="F99" s="287">
        <f>'ІІ. Розр. з бюджетом'!F28</f>
        <v>0</v>
      </c>
      <c r="G99" s="104"/>
      <c r="H99" s="152" t="e">
        <f t="shared" si="3"/>
        <v>#DIV/0!</v>
      </c>
    </row>
    <row r="100" spans="1:8" s="5" customFormat="1" ht="37.5">
      <c r="A100" s="46" t="s">
        <v>362</v>
      </c>
      <c r="B100" s="7">
        <v>2115</v>
      </c>
      <c r="C100" s="287">
        <f>'ІІ. Розр. з бюджетом'!C29</f>
        <v>74261.2</v>
      </c>
      <c r="D100" s="287">
        <f>'ІІ. Розр. з бюджетом'!D29</f>
        <v>4629</v>
      </c>
      <c r="E100" s="287">
        <f>'ІІ. Розр. з бюджетом'!E29</f>
        <v>2395</v>
      </c>
      <c r="F100" s="287">
        <f>'ІІ. Розр. з бюджетом'!F29</f>
        <v>4629</v>
      </c>
      <c r="G100" s="104"/>
      <c r="H100" s="152">
        <f t="shared" si="3"/>
        <v>193.27766179540711</v>
      </c>
    </row>
    <row r="101" spans="1:8" s="5" customFormat="1">
      <c r="A101" s="46" t="s">
        <v>92</v>
      </c>
      <c r="B101" s="7">
        <v>2116</v>
      </c>
      <c r="C101" s="287">
        <f>'ІІ. Розр. з бюджетом'!C30</f>
        <v>0</v>
      </c>
      <c r="D101" s="287">
        <f>'ІІ. Розр. з бюджетом'!D30</f>
        <v>0</v>
      </c>
      <c r="E101" s="287">
        <f>'ІІ. Розр. з бюджетом'!E30</f>
        <v>0</v>
      </c>
      <c r="F101" s="287">
        <f>'ІІ. Розр. з бюджетом'!F30</f>
        <v>0</v>
      </c>
      <c r="G101" s="104"/>
      <c r="H101" s="152" t="e">
        <f t="shared" si="3"/>
        <v>#DIV/0!</v>
      </c>
    </row>
    <row r="102" spans="1:8" s="5" customFormat="1">
      <c r="A102" s="46" t="s">
        <v>383</v>
      </c>
      <c r="B102" s="7">
        <v>2117</v>
      </c>
      <c r="C102" s="287">
        <f>'ІІ. Розр. з бюджетом'!C31</f>
        <v>0</v>
      </c>
      <c r="D102" s="287">
        <f>'ІІ. Розр. з бюджетом'!D31</f>
        <v>0</v>
      </c>
      <c r="E102" s="287">
        <f>'ІІ. Розр. з бюджетом'!E31</f>
        <v>0</v>
      </c>
      <c r="F102" s="287">
        <f>'ІІ. Розр. з бюджетом'!F31</f>
        <v>0</v>
      </c>
      <c r="G102" s="104"/>
      <c r="H102" s="152" t="e">
        <f t="shared" si="3"/>
        <v>#DIV/0!</v>
      </c>
    </row>
    <row r="103" spans="1:8" s="5" customFormat="1" ht="21.75" customHeight="1">
      <c r="A103" s="70" t="s">
        <v>363</v>
      </c>
      <c r="B103" s="52">
        <v>2120</v>
      </c>
      <c r="C103" s="306">
        <f>'ІІ. Розр. з бюджетом'!C36</f>
        <v>15634.199999999999</v>
      </c>
      <c r="D103" s="306">
        <f>'ІІ. Розр. з бюджетом'!D36</f>
        <v>15932</v>
      </c>
      <c r="E103" s="306">
        <f>'ІІ. Розр. з бюджетом'!E36</f>
        <v>18486</v>
      </c>
      <c r="F103" s="306">
        <f>'ІІ. Розр. з бюджетом'!F36</f>
        <v>15932</v>
      </c>
      <c r="G103" s="111">
        <f t="shared" si="4"/>
        <v>-2554</v>
      </c>
      <c r="H103" s="141">
        <f t="shared" si="3"/>
        <v>86.184139348696306</v>
      </c>
    </row>
    <row r="104" spans="1:8" s="5" customFormat="1" ht="37.5">
      <c r="A104" s="70" t="s">
        <v>364</v>
      </c>
      <c r="B104" s="52">
        <v>2130</v>
      </c>
      <c r="C104" s="306">
        <f>'ІІ. Розр. з бюджетом'!C41</f>
        <v>17384</v>
      </c>
      <c r="D104" s="306">
        <f>'ІІ. Розр. з бюджетом'!D41</f>
        <v>18166</v>
      </c>
      <c r="E104" s="306">
        <f>'ІІ. Розр. з бюджетом'!E41</f>
        <v>21947</v>
      </c>
      <c r="F104" s="306">
        <f>'ІІ. Розр. з бюджетом'!F41</f>
        <v>18166</v>
      </c>
      <c r="G104" s="111">
        <f t="shared" si="4"/>
        <v>-3781</v>
      </c>
      <c r="H104" s="141">
        <f t="shared" si="3"/>
        <v>82.772132865539703</v>
      </c>
    </row>
    <row r="105" spans="1:8" s="5" customFormat="1" ht="60.75" customHeight="1">
      <c r="A105" s="82" t="s">
        <v>384</v>
      </c>
      <c r="B105" s="7">
        <v>2131</v>
      </c>
      <c r="C105" s="302">
        <f>'ІІ. Розр. з бюджетом'!C42</f>
        <v>0</v>
      </c>
      <c r="D105" s="302">
        <f>'ІІ. Розр. з бюджетом'!D42</f>
        <v>0</v>
      </c>
      <c r="E105" s="302">
        <f>'ІІ. Розр. з бюджетом'!E42</f>
        <v>0</v>
      </c>
      <c r="F105" s="302">
        <f>'ІІ. Розр. з бюджетом'!F42</f>
        <v>0</v>
      </c>
      <c r="G105" s="104">
        <f t="shared" si="4"/>
        <v>0</v>
      </c>
      <c r="H105" s="152" t="e">
        <f t="shared" si="3"/>
        <v>#DIV/0!</v>
      </c>
    </row>
    <row r="106" spans="1:8" s="5" customFormat="1" ht="19.5" customHeight="1">
      <c r="A106" s="82" t="s">
        <v>365</v>
      </c>
      <c r="B106" s="7">
        <v>2133</v>
      </c>
      <c r="C106" s="302">
        <f>'ІІ. Розр. з бюджетом'!C44</f>
        <v>17384</v>
      </c>
      <c r="D106" s="302">
        <f>'ІІ. Розр. з бюджетом'!D44</f>
        <v>18166</v>
      </c>
      <c r="E106" s="302">
        <f>'ІІ. Розр. з бюджетом'!E44</f>
        <v>21947</v>
      </c>
      <c r="F106" s="302">
        <f>'ІІ. Розр. з бюджетом'!F44</f>
        <v>18166</v>
      </c>
      <c r="G106" s="104">
        <f t="shared" si="4"/>
        <v>-3781</v>
      </c>
      <c r="H106" s="140">
        <f t="shared" si="3"/>
        <v>82.772132865539703</v>
      </c>
    </row>
    <row r="107" spans="1:8" s="5" customFormat="1" ht="22.5" customHeight="1" thickBot="1">
      <c r="A107" s="186" t="s">
        <v>366</v>
      </c>
      <c r="B107" s="184">
        <v>2200</v>
      </c>
      <c r="C107" s="200">
        <f>'ІІ. Розр. з бюджетом'!C49</f>
        <v>132708</v>
      </c>
      <c r="D107" s="200">
        <f>'ІІ. Розр. з бюджетом'!D49</f>
        <v>41910</v>
      </c>
      <c r="E107" s="200">
        <f>'ІІ. Розр. з бюджетом'!E49</f>
        <v>48399</v>
      </c>
      <c r="F107" s="200">
        <f>'ІІ. Розр. з бюджетом'!F49</f>
        <v>41910</v>
      </c>
      <c r="G107" s="165"/>
      <c r="H107" s="185">
        <f t="shared" si="3"/>
        <v>86.592698196243717</v>
      </c>
    </row>
    <row r="108" spans="1:8" s="5" customFormat="1" ht="19.5" thickBot="1">
      <c r="A108" s="401" t="s">
        <v>298</v>
      </c>
      <c r="B108" s="402"/>
      <c r="C108" s="402"/>
      <c r="D108" s="402"/>
      <c r="E108" s="402"/>
      <c r="F108" s="402"/>
      <c r="G108" s="402"/>
      <c r="H108" s="403"/>
    </row>
    <row r="109" spans="1:8" s="5" customFormat="1" ht="20.100000000000001" customHeight="1">
      <c r="A109" s="190" t="s">
        <v>295</v>
      </c>
      <c r="B109" s="188">
        <v>3405</v>
      </c>
      <c r="C109" s="200">
        <f>'ІІІ. Рух грош. коштів'!C145</f>
        <v>63005.2</v>
      </c>
      <c r="D109" s="200">
        <f>'ІІІ. Рух грош. коштів'!D145</f>
        <v>58161</v>
      </c>
      <c r="E109" s="200">
        <f>'ІІІ. Рух грош. коштів'!E145</f>
        <v>27072</v>
      </c>
      <c r="F109" s="200">
        <f>'ІІІ. Рух грош. коштів'!F145</f>
        <v>58161</v>
      </c>
      <c r="G109" s="165">
        <f t="shared" ref="G109:G115" si="5">F109-E109</f>
        <v>31089</v>
      </c>
      <c r="H109" s="185">
        <f t="shared" si="3"/>
        <v>214.83820921985816</v>
      </c>
    </row>
    <row r="110" spans="1:8" s="5" customFormat="1" ht="20.100000000000001" customHeight="1">
      <c r="A110" s="82" t="s">
        <v>356</v>
      </c>
      <c r="B110" s="127">
        <v>3030</v>
      </c>
      <c r="C110" s="302">
        <f>'ІІІ. Рух грош. коштів'!C13</f>
        <v>848</v>
      </c>
      <c r="D110" s="302">
        <f>'ІІІ. Рух грош. коштів'!D13</f>
        <v>1101</v>
      </c>
      <c r="E110" s="302">
        <f>'ІІІ. Рух грош. коштів'!E13</f>
        <v>400</v>
      </c>
      <c r="F110" s="302">
        <f>'ІІІ. Рух грош. коштів'!F13</f>
        <v>1101</v>
      </c>
      <c r="G110" s="111"/>
      <c r="H110" s="152">
        <f t="shared" si="3"/>
        <v>275.25</v>
      </c>
    </row>
    <row r="111" spans="1:8" s="5" customFormat="1">
      <c r="A111" s="82" t="s">
        <v>287</v>
      </c>
      <c r="B111" s="127">
        <v>3195</v>
      </c>
      <c r="C111" s="302">
        <f>'ІІІ. Рух грош. коштів'!C61</f>
        <v>16166.799999999988</v>
      </c>
      <c r="D111" s="302">
        <f>'ІІІ. Рух грош. коштів'!D61</f>
        <v>19427</v>
      </c>
      <c r="E111" s="302">
        <f>'ІІІ. Рух грош. коштів'!E61</f>
        <v>100518</v>
      </c>
      <c r="F111" s="302">
        <f>'ІІІ. Рух грош. коштів'!F61</f>
        <v>19427</v>
      </c>
      <c r="G111" s="104">
        <f t="shared" si="5"/>
        <v>-81091</v>
      </c>
      <c r="H111" s="140">
        <f t="shared" si="3"/>
        <v>19.326886726755408</v>
      </c>
    </row>
    <row r="112" spans="1:8">
      <c r="A112" s="82" t="s">
        <v>121</v>
      </c>
      <c r="B112" s="127">
        <v>3295</v>
      </c>
      <c r="C112" s="302">
        <f>'ІІІ. Рух грош. коштів'!C126</f>
        <v>-21010.999999999996</v>
      </c>
      <c r="D112" s="302">
        <f>'ІІІ. Рух грош. коштів'!D126</f>
        <v>24497</v>
      </c>
      <c r="E112" s="302">
        <f>'ІІІ. Рух грош. коштів'!E126</f>
        <v>-60761</v>
      </c>
      <c r="F112" s="302">
        <f>'ІІІ. Рух грош. коштів'!F126</f>
        <v>24497</v>
      </c>
      <c r="G112" s="104">
        <f t="shared" si="5"/>
        <v>85258</v>
      </c>
      <c r="H112" s="152">
        <f t="shared" si="3"/>
        <v>-40.316979641546382</v>
      </c>
    </row>
    <row r="113" spans="1:8" s="5" customFormat="1">
      <c r="A113" s="82" t="s">
        <v>297</v>
      </c>
      <c r="B113" s="9">
        <v>3395</v>
      </c>
      <c r="C113" s="302">
        <f>'ІІІ. Рух грош. коштів'!C143</f>
        <v>0</v>
      </c>
      <c r="D113" s="302">
        <f>'ІІІ. Рух грош. коштів'!D143</f>
        <v>0</v>
      </c>
      <c r="E113" s="302">
        <f>'ІІІ. Рух грош. коштів'!E142</f>
        <v>0</v>
      </c>
      <c r="F113" s="302">
        <f>'ІІІ. Рух грош. коштів'!F143</f>
        <v>0</v>
      </c>
      <c r="G113" s="104">
        <f t="shared" si="5"/>
        <v>0</v>
      </c>
      <c r="H113" s="152" t="e">
        <f t="shared" si="3"/>
        <v>#DIV/0!</v>
      </c>
    </row>
    <row r="114" spans="1:8" s="5" customFormat="1">
      <c r="A114" s="82" t="s">
        <v>124</v>
      </c>
      <c r="B114" s="9">
        <v>3410</v>
      </c>
      <c r="C114" s="302">
        <f>'ІІІ. Рух грош. коштів'!C146</f>
        <v>0</v>
      </c>
      <c r="D114" s="302">
        <f>'ІІІ. Рух грош. коштів'!D146</f>
        <v>0</v>
      </c>
      <c r="E114" s="302">
        <f>'ІІІ. Рух грош. коштів'!E146</f>
        <v>0</v>
      </c>
      <c r="F114" s="302">
        <f>'ІІІ. Рух грош. коштів'!F146</f>
        <v>0</v>
      </c>
      <c r="G114" s="104">
        <f t="shared" si="5"/>
        <v>0</v>
      </c>
      <c r="H114" s="152" t="e">
        <f t="shared" si="3"/>
        <v>#DIV/0!</v>
      </c>
    </row>
    <row r="115" spans="1:8" s="5" customFormat="1" ht="19.5" thickBot="1">
      <c r="A115" s="113" t="s">
        <v>296</v>
      </c>
      <c r="B115" s="9">
        <v>3415</v>
      </c>
      <c r="C115" s="290">
        <f>SUM(C109,C111:C114)</f>
        <v>58160.999999999985</v>
      </c>
      <c r="D115" s="290">
        <f>SUM(D109,D111:D114)</f>
        <v>102085</v>
      </c>
      <c r="E115" s="290">
        <f>SUM(E109,E111:E114)</f>
        <v>66829</v>
      </c>
      <c r="F115" s="290">
        <f>SUM(F109,F111:F114)</f>
        <v>102085</v>
      </c>
      <c r="G115" s="111">
        <f t="shared" si="5"/>
        <v>35256</v>
      </c>
      <c r="H115" s="141">
        <f t="shared" si="3"/>
        <v>152.75554025946821</v>
      </c>
    </row>
    <row r="116" spans="1:8" s="5" customFormat="1" ht="19.5" thickBot="1">
      <c r="A116" s="404" t="s">
        <v>299</v>
      </c>
      <c r="B116" s="405"/>
      <c r="C116" s="405"/>
      <c r="D116" s="405"/>
      <c r="E116" s="405"/>
      <c r="F116" s="405"/>
      <c r="G116" s="405"/>
      <c r="H116" s="406"/>
    </row>
    <row r="117" spans="1:8" s="5" customFormat="1" ht="20.100000000000001" customHeight="1">
      <c r="A117" s="190" t="s">
        <v>241</v>
      </c>
      <c r="B117" s="191">
        <v>4000</v>
      </c>
      <c r="C117" s="200">
        <f>SUM(C118:C123)</f>
        <v>18996</v>
      </c>
      <c r="D117" s="200">
        <f>SUM(D118:D123)</f>
        <v>23155</v>
      </c>
      <c r="E117" s="200">
        <f>SUM(E118:E123)</f>
        <v>52211</v>
      </c>
      <c r="F117" s="200">
        <f>SUM(F118:F123)</f>
        <v>23155</v>
      </c>
      <c r="G117" s="196">
        <f t="shared" ref="G117:G123" si="6">F117-E117</f>
        <v>-29056</v>
      </c>
      <c r="H117" s="185">
        <f t="shared" si="3"/>
        <v>44.348891995939553</v>
      </c>
    </row>
    <row r="118" spans="1:8" s="5" customFormat="1" ht="20.100000000000001" customHeight="1">
      <c r="A118" s="8" t="s">
        <v>1</v>
      </c>
      <c r="B118" s="63" t="s">
        <v>152</v>
      </c>
      <c r="C118" s="302">
        <f>'IV. Кап. інвестиції'!C7</f>
        <v>954.6</v>
      </c>
      <c r="D118" s="302">
        <f>'IV. Кап. інвестиції'!D7</f>
        <v>932</v>
      </c>
      <c r="E118" s="302">
        <f>'IV. Кап. інвестиції'!E7</f>
        <v>18521</v>
      </c>
      <c r="F118" s="302">
        <f>'IV. Кап. інвестиції'!F7</f>
        <v>932</v>
      </c>
      <c r="G118" s="155">
        <f t="shared" si="6"/>
        <v>-17589</v>
      </c>
      <c r="H118" s="140">
        <f t="shared" si="3"/>
        <v>5.0321256951568492</v>
      </c>
    </row>
    <row r="119" spans="1:8" s="5" customFormat="1" ht="20.100000000000001" customHeight="1">
      <c r="A119" s="8" t="s">
        <v>2</v>
      </c>
      <c r="B119" s="62">
        <v>4020</v>
      </c>
      <c r="C119" s="302">
        <f>'IV. Кап. інвестиції'!C8</f>
        <v>15893.9</v>
      </c>
      <c r="D119" s="302">
        <f>'IV. Кап. інвестиції'!D8</f>
        <v>19570</v>
      </c>
      <c r="E119" s="302">
        <f>'IV. Кап. інвестиції'!E8</f>
        <v>26918</v>
      </c>
      <c r="F119" s="302">
        <f>'IV. Кап. інвестиції'!F8</f>
        <v>19570</v>
      </c>
      <c r="G119" s="155">
        <f t="shared" si="6"/>
        <v>-7348</v>
      </c>
      <c r="H119" s="140">
        <f t="shared" si="3"/>
        <v>72.702281001560294</v>
      </c>
    </row>
    <row r="120" spans="1:8" s="5" customFormat="1" ht="20.100000000000001" customHeight="1">
      <c r="A120" s="8" t="s">
        <v>30</v>
      </c>
      <c r="B120" s="63">
        <v>4030</v>
      </c>
      <c r="C120" s="302">
        <f>'IV. Кап. інвестиції'!C9</f>
        <v>1724.1</v>
      </c>
      <c r="D120" s="302">
        <f>'IV. Кап. інвестиції'!D9</f>
        <v>1077</v>
      </c>
      <c r="E120" s="302">
        <f>'IV. Кап. інвестиції'!E9</f>
        <v>1597</v>
      </c>
      <c r="F120" s="302">
        <f>'IV. Кап. інвестиції'!F9</f>
        <v>1077</v>
      </c>
      <c r="G120" s="155">
        <f t="shared" si="6"/>
        <v>-520</v>
      </c>
      <c r="H120" s="140">
        <f t="shared" si="3"/>
        <v>67.43894802755166</v>
      </c>
    </row>
    <row r="121" spans="1:8" s="5" customFormat="1">
      <c r="A121" s="8" t="s">
        <v>3</v>
      </c>
      <c r="B121" s="62">
        <v>4040</v>
      </c>
      <c r="C121" s="302">
        <f>'IV. Кап. інвестиції'!C10</f>
        <v>323.39999999999998</v>
      </c>
      <c r="D121" s="302">
        <f>'IV. Кап. інвестиції'!D10</f>
        <v>379</v>
      </c>
      <c r="E121" s="302">
        <f>'IV. Кап. інвестиції'!E10</f>
        <v>625</v>
      </c>
      <c r="F121" s="302">
        <f>'IV. Кап. інвестиції'!F10</f>
        <v>379</v>
      </c>
      <c r="G121" s="155">
        <f t="shared" si="6"/>
        <v>-246</v>
      </c>
      <c r="H121" s="140">
        <f t="shared" si="3"/>
        <v>60.640000000000008</v>
      </c>
    </row>
    <row r="122" spans="1:8" s="5" customFormat="1" ht="37.5">
      <c r="A122" s="8" t="s">
        <v>64</v>
      </c>
      <c r="B122" s="63">
        <v>4050</v>
      </c>
      <c r="C122" s="303">
        <f>'IV. Кап. інвестиції'!C11</f>
        <v>100</v>
      </c>
      <c r="D122" s="302">
        <f>'IV. Кап. інвестиції'!D11</f>
        <v>1197</v>
      </c>
      <c r="E122" s="302">
        <f>'IV. Кап. інвестиції'!E11</f>
        <v>4550</v>
      </c>
      <c r="F122" s="302">
        <f>'IV. Кап. інвестиції'!F11</f>
        <v>1197</v>
      </c>
      <c r="G122" s="155"/>
      <c r="H122" s="140">
        <f t="shared" si="3"/>
        <v>26.30769230769231</v>
      </c>
    </row>
    <row r="123" spans="1:8" s="5" customFormat="1">
      <c r="A123" s="8" t="s">
        <v>252</v>
      </c>
      <c r="B123" s="63">
        <v>4060</v>
      </c>
      <c r="C123" s="303">
        <f>'IV. Кап. інвестиції'!C12</f>
        <v>0</v>
      </c>
      <c r="D123" s="302">
        <f>'IV. Кап. інвестиції'!D12</f>
        <v>0</v>
      </c>
      <c r="E123" s="302">
        <f>'IV. Кап. інвестиції'!E12</f>
        <v>0</v>
      </c>
      <c r="F123" s="302">
        <f>'IV. Кап. інвестиції'!F12</f>
        <v>0</v>
      </c>
      <c r="G123" s="155">
        <f t="shared" si="6"/>
        <v>0</v>
      </c>
      <c r="H123" s="152" t="e">
        <f t="shared" si="3"/>
        <v>#DIV/0!</v>
      </c>
    </row>
    <row r="124" spans="1:8" s="5" customFormat="1" ht="20.100000000000001" customHeight="1">
      <c r="A124" s="81" t="s">
        <v>242</v>
      </c>
      <c r="B124" s="114">
        <v>4000</v>
      </c>
      <c r="C124" s="304">
        <f>SUM(C125:C128)</f>
        <v>18996</v>
      </c>
      <c r="D124" s="290">
        <f>SUM(D125:D128)</f>
        <v>23155</v>
      </c>
      <c r="E124" s="290">
        <f>SUM(E125:E128)</f>
        <v>52211</v>
      </c>
      <c r="F124" s="290">
        <f>SUM(F125:F128)</f>
        <v>23155</v>
      </c>
      <c r="G124" s="180">
        <f>F124-E124</f>
        <v>-29056</v>
      </c>
      <c r="H124" s="141">
        <f t="shared" si="3"/>
        <v>44.348891995939553</v>
      </c>
    </row>
    <row r="125" spans="1:8" s="5" customFormat="1" ht="20.100000000000001" customHeight="1">
      <c r="A125" s="46" t="s">
        <v>385</v>
      </c>
      <c r="B125" s="115" t="s">
        <v>243</v>
      </c>
      <c r="C125" s="303"/>
      <c r="D125" s="302"/>
      <c r="E125" s="302">
        <f>'6.2. Інша інфо_2'!M72</f>
        <v>0</v>
      </c>
      <c r="F125" s="302">
        <f>'6.2. Інша інфо_2'!N72</f>
        <v>0</v>
      </c>
      <c r="G125" s="155">
        <f>F125-E125</f>
        <v>0</v>
      </c>
      <c r="H125" s="152" t="e">
        <f t="shared" si="3"/>
        <v>#DIV/0!</v>
      </c>
    </row>
    <row r="126" spans="1:8" s="5" customFormat="1" ht="20.100000000000001" customHeight="1">
      <c r="A126" s="46" t="s">
        <v>386</v>
      </c>
      <c r="B126" s="115" t="s">
        <v>244</v>
      </c>
      <c r="C126" s="303"/>
      <c r="D126" s="302"/>
      <c r="E126" s="302">
        <f>'6.2. Інша інфо_2'!Q72</f>
        <v>0</v>
      </c>
      <c r="F126" s="302">
        <f>'6.2. Інша інфо_2'!R72</f>
        <v>0</v>
      </c>
      <c r="G126" s="155">
        <f>F126-E126</f>
        <v>0</v>
      </c>
      <c r="H126" s="152" t="e">
        <f t="shared" si="3"/>
        <v>#DIV/0!</v>
      </c>
    </row>
    <row r="127" spans="1:8" s="5" customFormat="1" ht="20.100000000000001" customHeight="1">
      <c r="A127" s="46" t="s">
        <v>203</v>
      </c>
      <c r="B127" s="115" t="s">
        <v>245</v>
      </c>
      <c r="C127" s="303"/>
      <c r="D127" s="302"/>
      <c r="E127" s="302">
        <f>'6.2. Інша інфо_2'!U72</f>
        <v>0</v>
      </c>
      <c r="F127" s="302">
        <f>'6.2. Інша інфо_2'!V72</f>
        <v>0</v>
      </c>
      <c r="G127" s="155">
        <f>F127-E127</f>
        <v>0</v>
      </c>
      <c r="H127" s="140"/>
    </row>
    <row r="128" spans="1:8" s="5" customFormat="1" ht="20.100000000000001" customHeight="1" thickBot="1">
      <c r="A128" s="130" t="s">
        <v>387</v>
      </c>
      <c r="B128" s="131" t="s">
        <v>246</v>
      </c>
      <c r="C128" s="305">
        <f>C117</f>
        <v>18996</v>
      </c>
      <c r="D128" s="305">
        <f>D117</f>
        <v>23155</v>
      </c>
      <c r="E128" s="305">
        <f>'6.2. Інша інфо_2'!Y72</f>
        <v>52211</v>
      </c>
      <c r="F128" s="305">
        <f>'6.2. Інша інфо_2'!Z72</f>
        <v>23155</v>
      </c>
      <c r="G128" s="182">
        <f>F128-E128</f>
        <v>-29056</v>
      </c>
      <c r="H128" s="140">
        <f t="shared" si="3"/>
        <v>44.348891995939553</v>
      </c>
    </row>
    <row r="129" spans="1:12" s="5" customFormat="1" ht="19.5" thickBot="1">
      <c r="A129" s="413" t="s">
        <v>148</v>
      </c>
      <c r="B129" s="414"/>
      <c r="C129" s="414"/>
      <c r="D129" s="414"/>
      <c r="E129" s="414"/>
      <c r="F129" s="414"/>
      <c r="G129" s="414"/>
      <c r="H129" s="415"/>
    </row>
    <row r="130" spans="1:12" s="5" customFormat="1">
      <c r="A130" s="116" t="s">
        <v>330</v>
      </c>
      <c r="B130" s="274">
        <v>5040</v>
      </c>
      <c r="C130" s="302">
        <f>(C66/C34)*100</f>
        <v>1776.9028871391076</v>
      </c>
      <c r="D130" s="302">
        <f>(D66/D34)*100</f>
        <v>1012.8125000000001</v>
      </c>
      <c r="E130" s="302">
        <f>(E66/E34)*100</f>
        <v>560.16597510373435</v>
      </c>
      <c r="F130" s="277" t="s">
        <v>380</v>
      </c>
      <c r="G130" s="181">
        <f>D130-C130</f>
        <v>-764.09038713910752</v>
      </c>
      <c r="H130" s="140"/>
    </row>
    <row r="131" spans="1:12" s="5" customFormat="1">
      <c r="A131" s="116" t="s">
        <v>331</v>
      </c>
      <c r="B131" s="274">
        <v>5020</v>
      </c>
      <c r="C131" s="302">
        <f>(C66/C142)*100</f>
        <v>7.6384109397389173</v>
      </c>
      <c r="D131" s="302">
        <f>(D66/D142)*100</f>
        <v>2.7320009103859868</v>
      </c>
      <c r="E131" s="302">
        <f>(E66/E142)*100</f>
        <v>1.528255750769788</v>
      </c>
      <c r="F131" s="277" t="s">
        <v>380</v>
      </c>
      <c r="G131" s="181">
        <f>D131-C131</f>
        <v>-4.90641002935293</v>
      </c>
      <c r="H131" s="140"/>
    </row>
    <row r="132" spans="1:12" s="5" customFormat="1">
      <c r="A132" s="82" t="s">
        <v>332</v>
      </c>
      <c r="B132" s="270">
        <v>5030</v>
      </c>
      <c r="C132" s="287">
        <f>(C66/C148)*100</f>
        <v>14.616821219219933</v>
      </c>
      <c r="D132" s="287">
        <f>(D66/D148)*100</f>
        <v>7.1115889716611633</v>
      </c>
      <c r="E132" s="287">
        <f>(E66/E148)*100</f>
        <v>3.0244984373424741</v>
      </c>
      <c r="F132" s="277" t="s">
        <v>380</v>
      </c>
      <c r="G132" s="181">
        <f>D132-C132</f>
        <v>-7.5052322475587694</v>
      </c>
      <c r="H132" s="140"/>
    </row>
    <row r="133" spans="1:12" s="5" customFormat="1">
      <c r="A133" s="118" t="s">
        <v>156</v>
      </c>
      <c r="B133" s="273">
        <v>5110</v>
      </c>
      <c r="C133" s="308">
        <f>C148/C145</f>
        <v>1.0945775088917511</v>
      </c>
      <c r="D133" s="308">
        <f>D148/D145</f>
        <v>0.62380316873695374</v>
      </c>
      <c r="E133" s="308">
        <f>E148/E145</f>
        <v>1.0213956362055354</v>
      </c>
      <c r="F133" s="277" t="s">
        <v>380</v>
      </c>
      <c r="G133" s="181">
        <f>D133-C133</f>
        <v>-0.47077434015479735</v>
      </c>
      <c r="H133" s="140"/>
    </row>
    <row r="134" spans="1:12" s="5" customFormat="1" ht="21.75" customHeight="1" thickBot="1">
      <c r="A134" s="144" t="s">
        <v>333</v>
      </c>
      <c r="B134" s="145">
        <v>5220</v>
      </c>
      <c r="C134" s="305">
        <f>C139/C138</f>
        <v>0.46868962739681203</v>
      </c>
      <c r="D134" s="305">
        <f>D139/D138</f>
        <v>0.45954656707600117</v>
      </c>
      <c r="E134" s="305">
        <f>E139/E138</f>
        <v>0.46995684469609172</v>
      </c>
      <c r="F134" s="277" t="s">
        <v>380</v>
      </c>
      <c r="G134" s="181">
        <f>D134-C134</f>
        <v>-9.1430603208108585E-3</v>
      </c>
      <c r="H134" s="143"/>
    </row>
    <row r="135" spans="1:12" s="5" customFormat="1" ht="19.5" thickBot="1">
      <c r="A135" s="401" t="s">
        <v>300</v>
      </c>
      <c r="B135" s="402"/>
      <c r="C135" s="402"/>
      <c r="D135" s="402"/>
      <c r="E135" s="402"/>
      <c r="F135" s="402"/>
      <c r="G135" s="402"/>
      <c r="H135" s="403"/>
    </row>
    <row r="136" spans="1:12" s="5" customFormat="1" ht="20.100000000000001" customHeight="1">
      <c r="A136" s="116" t="s">
        <v>323</v>
      </c>
      <c r="B136" s="274">
        <v>6000</v>
      </c>
      <c r="C136" s="302">
        <v>106351</v>
      </c>
      <c r="D136" s="302">
        <v>119939</v>
      </c>
      <c r="E136" s="302">
        <v>113529</v>
      </c>
      <c r="F136" s="277" t="s">
        <v>380</v>
      </c>
      <c r="G136" s="155">
        <f>D136-C136</f>
        <v>13588</v>
      </c>
      <c r="H136" s="152">
        <f>(D136/C136)*100</f>
        <v>112.77656063412662</v>
      </c>
      <c r="I136" s="5">
        <v>106351</v>
      </c>
      <c r="J136" s="5">
        <v>119939</v>
      </c>
      <c r="K136" s="316"/>
      <c r="L136" s="316"/>
    </row>
    <row r="137" spans="1:12" s="5" customFormat="1" ht="20.100000000000001" customHeight="1">
      <c r="A137" s="116" t="s">
        <v>324</v>
      </c>
      <c r="B137" s="274">
        <v>6001</v>
      </c>
      <c r="C137" s="287">
        <f>C138-C139</f>
        <v>84430</v>
      </c>
      <c r="D137" s="287">
        <f>D138-D139</f>
        <v>102457</v>
      </c>
      <c r="E137" s="287">
        <f>E138-E139</f>
        <v>96047</v>
      </c>
      <c r="F137" s="277" t="s">
        <v>380</v>
      </c>
      <c r="G137" s="155">
        <f t="shared" ref="G137:G148" si="7">D137-C137</f>
        <v>18027</v>
      </c>
      <c r="H137" s="152">
        <f t="shared" ref="H137:H148" si="8">(D137/C137)*100</f>
        <v>121.35141537368234</v>
      </c>
      <c r="I137" s="5">
        <v>84430</v>
      </c>
      <c r="J137" s="5">
        <v>102457</v>
      </c>
      <c r="K137" s="316"/>
      <c r="L137" s="316"/>
    </row>
    <row r="138" spans="1:12" s="5" customFormat="1" ht="20.100000000000001" customHeight="1">
      <c r="A138" s="116" t="s">
        <v>325</v>
      </c>
      <c r="B138" s="274">
        <v>6002</v>
      </c>
      <c r="C138" s="302">
        <v>158909</v>
      </c>
      <c r="D138" s="302">
        <v>189576</v>
      </c>
      <c r="E138" s="302">
        <v>181206</v>
      </c>
      <c r="F138" s="277" t="s">
        <v>380</v>
      </c>
      <c r="G138" s="155">
        <f t="shared" si="7"/>
        <v>30667</v>
      </c>
      <c r="H138" s="152">
        <f t="shared" si="8"/>
        <v>119.29846641788697</v>
      </c>
      <c r="I138" s="5">
        <v>158909</v>
      </c>
      <c r="J138" s="5">
        <v>189576</v>
      </c>
      <c r="K138" s="316"/>
      <c r="L138" s="316"/>
    </row>
    <row r="139" spans="1:12" s="5" customFormat="1" ht="20.100000000000001" customHeight="1">
      <c r="A139" s="116" t="s">
        <v>326</v>
      </c>
      <c r="B139" s="274">
        <v>6003</v>
      </c>
      <c r="C139" s="302">
        <v>74479</v>
      </c>
      <c r="D139" s="302">
        <v>87119</v>
      </c>
      <c r="E139" s="302">
        <v>85159</v>
      </c>
      <c r="F139" s="277" t="s">
        <v>380</v>
      </c>
      <c r="G139" s="155">
        <f t="shared" si="7"/>
        <v>12640</v>
      </c>
      <c r="H139" s="152">
        <f t="shared" si="8"/>
        <v>116.97122678875924</v>
      </c>
      <c r="I139" s="5">
        <v>74479</v>
      </c>
      <c r="J139" s="5">
        <v>87119</v>
      </c>
      <c r="K139" s="316"/>
      <c r="L139" s="316"/>
    </row>
    <row r="140" spans="1:12" s="5" customFormat="1" ht="20.100000000000001" customHeight="1">
      <c r="A140" s="82" t="s">
        <v>327</v>
      </c>
      <c r="B140" s="270">
        <v>6010</v>
      </c>
      <c r="C140" s="302">
        <v>70911</v>
      </c>
      <c r="D140" s="302">
        <v>117323</v>
      </c>
      <c r="E140" s="302">
        <v>63143</v>
      </c>
      <c r="F140" s="277" t="s">
        <v>380</v>
      </c>
      <c r="G140" s="155">
        <f t="shared" si="7"/>
        <v>46412</v>
      </c>
      <c r="H140" s="152">
        <f t="shared" si="8"/>
        <v>165.45105836894135</v>
      </c>
      <c r="I140" s="5">
        <v>70911</v>
      </c>
      <c r="J140" s="5">
        <v>117323</v>
      </c>
      <c r="K140" s="316"/>
      <c r="L140" s="316"/>
    </row>
    <row r="141" spans="1:12" s="5" customFormat="1">
      <c r="A141" s="82" t="s">
        <v>328</v>
      </c>
      <c r="B141" s="270">
        <v>6011</v>
      </c>
      <c r="C141" s="302">
        <f>C115</f>
        <v>58160.999999999985</v>
      </c>
      <c r="D141" s="302">
        <f>D115</f>
        <v>102085</v>
      </c>
      <c r="E141" s="302">
        <f>E115</f>
        <v>66829</v>
      </c>
      <c r="F141" s="277" t="s">
        <v>380</v>
      </c>
      <c r="G141" s="155">
        <f t="shared" si="7"/>
        <v>43924.000000000015</v>
      </c>
      <c r="H141" s="152">
        <f t="shared" si="8"/>
        <v>175.52139750004304</v>
      </c>
      <c r="I141" s="5">
        <v>58160.999999999985</v>
      </c>
      <c r="J141" s="5">
        <v>102085</v>
      </c>
      <c r="K141" s="316"/>
      <c r="L141" s="316"/>
    </row>
    <row r="142" spans="1:12" s="5" customFormat="1" ht="20.100000000000001" customHeight="1">
      <c r="A142" s="81" t="s">
        <v>186</v>
      </c>
      <c r="B142" s="270">
        <v>6020</v>
      </c>
      <c r="C142" s="306">
        <f>C140+C136</f>
        <v>177262</v>
      </c>
      <c r="D142" s="306">
        <f>D140+D136</f>
        <v>237262</v>
      </c>
      <c r="E142" s="306">
        <f>E140+E136</f>
        <v>176672</v>
      </c>
      <c r="F142" s="277" t="s">
        <v>380</v>
      </c>
      <c r="G142" s="180">
        <f t="shared" si="7"/>
        <v>60000</v>
      </c>
      <c r="H142" s="153">
        <f t="shared" si="8"/>
        <v>133.84820209633199</v>
      </c>
      <c r="I142" s="5">
        <v>177262</v>
      </c>
      <c r="J142" s="5">
        <v>237262</v>
      </c>
      <c r="K142" s="316"/>
      <c r="L142" s="316"/>
    </row>
    <row r="143" spans="1:12" s="5" customFormat="1" ht="20.100000000000001" customHeight="1">
      <c r="A143" s="82" t="s">
        <v>125</v>
      </c>
      <c r="B143" s="270">
        <v>6030</v>
      </c>
      <c r="C143" s="302">
        <v>53904</v>
      </c>
      <c r="D143" s="302">
        <v>89723</v>
      </c>
      <c r="E143" s="302">
        <v>60229</v>
      </c>
      <c r="F143" s="277" t="s">
        <v>380</v>
      </c>
      <c r="G143" s="155">
        <f t="shared" si="7"/>
        <v>35819</v>
      </c>
      <c r="H143" s="152">
        <f t="shared" si="8"/>
        <v>166.44961412882159</v>
      </c>
      <c r="I143" s="5">
        <v>53904</v>
      </c>
      <c r="J143" s="5">
        <v>89723</v>
      </c>
      <c r="K143" s="316"/>
      <c r="L143" s="316"/>
    </row>
    <row r="144" spans="1:12" s="5" customFormat="1" ht="20.100000000000001" customHeight="1">
      <c r="A144" s="82" t="s">
        <v>126</v>
      </c>
      <c r="B144" s="270">
        <v>6040</v>
      </c>
      <c r="C144" s="302">
        <v>30725</v>
      </c>
      <c r="D144" s="302">
        <v>56392</v>
      </c>
      <c r="E144" s="302">
        <v>27172</v>
      </c>
      <c r="F144" s="277" t="s">
        <v>380</v>
      </c>
      <c r="G144" s="155">
        <f t="shared" si="7"/>
        <v>25667</v>
      </c>
      <c r="H144" s="152">
        <f t="shared" si="8"/>
        <v>183.53783563873068</v>
      </c>
      <c r="I144" s="5">
        <v>30725</v>
      </c>
      <c r="J144" s="5">
        <v>56392</v>
      </c>
      <c r="K144" s="316"/>
      <c r="L144" s="316"/>
    </row>
    <row r="145" spans="1:12" s="5" customFormat="1" ht="20.100000000000001" customHeight="1">
      <c r="A145" s="81" t="s">
        <v>187</v>
      </c>
      <c r="B145" s="270">
        <v>6050</v>
      </c>
      <c r="C145" s="290">
        <f>C143+C144</f>
        <v>84629</v>
      </c>
      <c r="D145" s="290">
        <f>D143+D144</f>
        <v>146115</v>
      </c>
      <c r="E145" s="290">
        <f>E143+E144</f>
        <v>87401</v>
      </c>
      <c r="F145" s="277" t="s">
        <v>380</v>
      </c>
      <c r="G145" s="180">
        <f t="shared" si="7"/>
        <v>61486</v>
      </c>
      <c r="H145" s="153">
        <f t="shared" si="8"/>
        <v>172.65358210542485</v>
      </c>
      <c r="I145" s="5">
        <v>84629</v>
      </c>
      <c r="J145" s="5">
        <v>146115</v>
      </c>
      <c r="K145" s="316"/>
      <c r="L145" s="316"/>
    </row>
    <row r="146" spans="1:12" s="5" customFormat="1" ht="20.100000000000001" customHeight="1">
      <c r="A146" s="82" t="s">
        <v>388</v>
      </c>
      <c r="B146" s="270">
        <v>6060</v>
      </c>
      <c r="C146" s="302"/>
      <c r="D146" s="133"/>
      <c r="E146" s="133"/>
      <c r="F146" s="277" t="s">
        <v>380</v>
      </c>
      <c r="G146" s="155">
        <f t="shared" si="7"/>
        <v>0</v>
      </c>
      <c r="H146" s="152" t="e">
        <f t="shared" si="8"/>
        <v>#DIV/0!</v>
      </c>
      <c r="K146" s="316"/>
      <c r="L146" s="316"/>
    </row>
    <row r="147" spans="1:12" s="5" customFormat="1">
      <c r="A147" s="82" t="s">
        <v>389</v>
      </c>
      <c r="B147" s="270">
        <v>6070</v>
      </c>
      <c r="C147" s="302"/>
      <c r="D147" s="133"/>
      <c r="E147" s="133"/>
      <c r="F147" s="277" t="s">
        <v>380</v>
      </c>
      <c r="G147" s="155">
        <f t="shared" si="7"/>
        <v>0</v>
      </c>
      <c r="H147" s="152" t="e">
        <f t="shared" si="8"/>
        <v>#DIV/0!</v>
      </c>
      <c r="K147" s="316"/>
      <c r="L147" s="316"/>
    </row>
    <row r="148" spans="1:12" s="5" customFormat="1" ht="20.100000000000001" customHeight="1" thickBot="1">
      <c r="A148" s="81" t="s">
        <v>118</v>
      </c>
      <c r="B148" s="270">
        <v>6080</v>
      </c>
      <c r="C148" s="306">
        <f>C142-C145</f>
        <v>92633</v>
      </c>
      <c r="D148" s="306">
        <f>D142-D145</f>
        <v>91147</v>
      </c>
      <c r="E148" s="306">
        <f>E142-E145</f>
        <v>89271</v>
      </c>
      <c r="F148" s="277" t="s">
        <v>380</v>
      </c>
      <c r="G148" s="180">
        <f t="shared" si="7"/>
        <v>-1486</v>
      </c>
      <c r="H148" s="153">
        <f t="shared" si="8"/>
        <v>98.395820064124024</v>
      </c>
      <c r="I148" s="5">
        <v>92633</v>
      </c>
      <c r="J148" s="5">
        <v>91147</v>
      </c>
      <c r="K148" s="316"/>
      <c r="L148" s="316"/>
    </row>
    <row r="149" spans="1:12" s="5" customFormat="1" ht="19.5" thickBot="1">
      <c r="A149" s="404" t="s">
        <v>301</v>
      </c>
      <c r="B149" s="405"/>
      <c r="C149" s="405"/>
      <c r="D149" s="405"/>
      <c r="E149" s="405"/>
      <c r="F149" s="405"/>
      <c r="G149" s="405"/>
      <c r="H149" s="406"/>
    </row>
    <row r="150" spans="1:12" s="5" customFormat="1" ht="20.100000000000001" customHeight="1">
      <c r="A150" s="112" t="s">
        <v>357</v>
      </c>
      <c r="B150" s="119" t="s">
        <v>302</v>
      </c>
      <c r="C150" s="122">
        <f>SUM(C151:C153)</f>
        <v>0</v>
      </c>
      <c r="D150" s="122">
        <f>SUM(D151:D153)</f>
        <v>0</v>
      </c>
      <c r="E150" s="122">
        <f>SUM(E151:E153)</f>
        <v>0</v>
      </c>
      <c r="F150" s="122">
        <f>SUM(F151:F153)</f>
        <v>0</v>
      </c>
      <c r="G150" s="122">
        <f t="shared" ref="G150:G157" si="9">F150-E150</f>
        <v>0</v>
      </c>
      <c r="H150" s="153" t="e">
        <f t="shared" ref="H150:H159" si="10">(F150/E150)*100</f>
        <v>#DIV/0!</v>
      </c>
    </row>
    <row r="151" spans="1:12" s="5" customFormat="1" ht="20.100000000000001" customHeight="1">
      <c r="A151" s="82" t="s">
        <v>390</v>
      </c>
      <c r="B151" s="120" t="s">
        <v>304</v>
      </c>
      <c r="C151" s="104"/>
      <c r="D151" s="104"/>
      <c r="E151" s="110">
        <f>'6.1. Інша інфо_1'!F66</f>
        <v>0</v>
      </c>
      <c r="F151" s="110">
        <f>'6.1. Інша інфо_1'!H66</f>
        <v>0</v>
      </c>
      <c r="G151" s="104">
        <f t="shared" si="9"/>
        <v>0</v>
      </c>
      <c r="H151" s="152" t="e">
        <f t="shared" si="10"/>
        <v>#DIV/0!</v>
      </c>
    </row>
    <row r="152" spans="1:12" s="5" customFormat="1" ht="20.100000000000001" customHeight="1">
      <c r="A152" s="82" t="s">
        <v>391</v>
      </c>
      <c r="B152" s="120" t="s">
        <v>305</v>
      </c>
      <c r="C152" s="104"/>
      <c r="D152" s="104"/>
      <c r="E152" s="110">
        <f>'6.1. Інша інфо_1'!F69</f>
        <v>0</v>
      </c>
      <c r="F152" s="110">
        <f>'6.1. Інша інфо_1'!H69</f>
        <v>0</v>
      </c>
      <c r="G152" s="104">
        <f t="shared" si="9"/>
        <v>0</v>
      </c>
      <c r="H152" s="152" t="e">
        <f t="shared" si="10"/>
        <v>#DIV/0!</v>
      </c>
    </row>
    <row r="153" spans="1:12" s="5" customFormat="1" ht="20.100000000000001" customHeight="1">
      <c r="A153" s="82" t="s">
        <v>392</v>
      </c>
      <c r="B153" s="120" t="s">
        <v>306</v>
      </c>
      <c r="C153" s="104"/>
      <c r="D153" s="104"/>
      <c r="E153" s="110">
        <f>'6.1. Інша інфо_1'!F72</f>
        <v>0</v>
      </c>
      <c r="F153" s="110">
        <f>'6.1. Інша інфо_1'!H72</f>
        <v>0</v>
      </c>
      <c r="G153" s="104">
        <f t="shared" si="9"/>
        <v>0</v>
      </c>
      <c r="H153" s="152" t="e">
        <f t="shared" si="10"/>
        <v>#DIV/0!</v>
      </c>
    </row>
    <row r="154" spans="1:12" s="5" customFormat="1" ht="20.100000000000001" customHeight="1">
      <c r="A154" s="81" t="s">
        <v>358</v>
      </c>
      <c r="B154" s="120" t="s">
        <v>303</v>
      </c>
      <c r="C154" s="111">
        <f>SUM(C155:C157)</f>
        <v>0</v>
      </c>
      <c r="D154" s="111">
        <f>SUM(D155:D157)</f>
        <v>0</v>
      </c>
      <c r="E154" s="111">
        <f>SUM(E155:E157)</f>
        <v>0</v>
      </c>
      <c r="F154" s="111">
        <f>SUM(F155:F157)</f>
        <v>0</v>
      </c>
      <c r="G154" s="111">
        <f t="shared" si="9"/>
        <v>0</v>
      </c>
      <c r="H154" s="153" t="e">
        <f t="shared" si="10"/>
        <v>#DIV/0!</v>
      </c>
    </row>
    <row r="155" spans="1:12" s="5" customFormat="1" ht="20.100000000000001" customHeight="1">
      <c r="A155" s="82" t="s">
        <v>390</v>
      </c>
      <c r="B155" s="120" t="s">
        <v>307</v>
      </c>
      <c r="C155" s="104"/>
      <c r="D155" s="104"/>
      <c r="E155" s="110">
        <f>'6.1. Інша інфо_1'!J66</f>
        <v>0</v>
      </c>
      <c r="F155" s="110">
        <f>'6.1. Інша інфо_1'!L66</f>
        <v>0</v>
      </c>
      <c r="G155" s="104">
        <f t="shared" si="9"/>
        <v>0</v>
      </c>
      <c r="H155" s="152" t="e">
        <f t="shared" si="10"/>
        <v>#DIV/0!</v>
      </c>
    </row>
    <row r="156" spans="1:12" s="5" customFormat="1" ht="20.100000000000001" customHeight="1">
      <c r="A156" s="82" t="s">
        <v>391</v>
      </c>
      <c r="B156" s="120" t="s">
        <v>308</v>
      </c>
      <c r="C156" s="104"/>
      <c r="D156" s="104"/>
      <c r="E156" s="110">
        <f>'6.1. Інша інфо_1'!J69</f>
        <v>0</v>
      </c>
      <c r="F156" s="110">
        <f>'6.1. Інша інфо_1'!L69</f>
        <v>0</v>
      </c>
      <c r="G156" s="104">
        <f t="shared" si="9"/>
        <v>0</v>
      </c>
      <c r="H156" s="152" t="e">
        <f t="shared" si="10"/>
        <v>#DIV/0!</v>
      </c>
    </row>
    <row r="157" spans="1:12" s="5" customFormat="1" ht="20.100000000000001" customHeight="1" thickBot="1">
      <c r="A157" s="118" t="s">
        <v>392</v>
      </c>
      <c r="B157" s="121" t="s">
        <v>309</v>
      </c>
      <c r="C157" s="104"/>
      <c r="D157" s="104"/>
      <c r="E157" s="110">
        <f>'6.1. Інша інфо_1'!J72</f>
        <v>0</v>
      </c>
      <c r="F157" s="110">
        <f>'6.1. Інша інфо_1'!L72</f>
        <v>0</v>
      </c>
      <c r="G157" s="104">
        <f t="shared" si="9"/>
        <v>0</v>
      </c>
      <c r="H157" s="152" t="e">
        <f t="shared" si="10"/>
        <v>#DIV/0!</v>
      </c>
    </row>
    <row r="158" spans="1:12" s="5" customFormat="1" ht="19.5" thickBot="1">
      <c r="A158" s="401" t="s">
        <v>310</v>
      </c>
      <c r="B158" s="402"/>
      <c r="C158" s="402"/>
      <c r="D158" s="402"/>
      <c r="E158" s="402"/>
      <c r="F158" s="402"/>
      <c r="G158" s="402"/>
      <c r="H158" s="403"/>
    </row>
    <row r="159" spans="1:12" s="5" customFormat="1" ht="60.75" customHeight="1">
      <c r="A159" s="81" t="s">
        <v>340</v>
      </c>
      <c r="B159" s="120" t="s">
        <v>311</v>
      </c>
      <c r="C159" s="304">
        <f>SUM(C160:C162)</f>
        <v>258</v>
      </c>
      <c r="D159" s="83" t="s">
        <v>380</v>
      </c>
      <c r="E159" s="304">
        <f>SUM(E160:E162)</f>
        <v>331</v>
      </c>
      <c r="F159" s="304">
        <f>SUM(F160:F162)</f>
        <v>288</v>
      </c>
      <c r="G159" s="111">
        <f>F159-E159</f>
        <v>-43</v>
      </c>
      <c r="H159" s="141">
        <f t="shared" si="10"/>
        <v>87.009063444108762</v>
      </c>
    </row>
    <row r="160" spans="1:12" s="5" customFormat="1">
      <c r="A160" s="8" t="s">
        <v>198</v>
      </c>
      <c r="B160" s="120" t="s">
        <v>312</v>
      </c>
      <c r="C160" s="309">
        <f>'6.1. Інша інфо_1'!C12:E12</f>
        <v>1</v>
      </c>
      <c r="D160" s="83" t="s">
        <v>380</v>
      </c>
      <c r="E160" s="309">
        <f>'6.1. Інша інфо_1'!F12</f>
        <v>1</v>
      </c>
      <c r="F160" s="309">
        <f>'6.1. Інша інфо_1'!I12</f>
        <v>1</v>
      </c>
      <c r="G160" s="104">
        <f>F160-E160</f>
        <v>0</v>
      </c>
      <c r="H160" s="140">
        <f>(F160/E160)*100</f>
        <v>100</v>
      </c>
    </row>
    <row r="161" spans="1:9" s="5" customFormat="1">
      <c r="A161" s="8" t="s">
        <v>197</v>
      </c>
      <c r="B161" s="120" t="s">
        <v>313</v>
      </c>
      <c r="C161" s="309">
        <v>72</v>
      </c>
      <c r="D161" s="83" t="s">
        <v>380</v>
      </c>
      <c r="E161" s="309">
        <f>'6.1. Інша інфо_1'!F13</f>
        <v>81</v>
      </c>
      <c r="F161" s="309">
        <f>'6.1. Інша інфо_1'!I13</f>
        <v>72</v>
      </c>
      <c r="G161" s="104">
        <f t="shared" ref="G161:G167" si="11">F161-E161</f>
        <v>-9</v>
      </c>
      <c r="H161" s="140">
        <f t="shared" ref="H161:H167" si="12">(F161/E161)*100</f>
        <v>88.888888888888886</v>
      </c>
    </row>
    <row r="162" spans="1:9" s="5" customFormat="1">
      <c r="A162" s="8" t="s">
        <v>199</v>
      </c>
      <c r="B162" s="120" t="s">
        <v>314</v>
      </c>
      <c r="C162" s="309">
        <v>185</v>
      </c>
      <c r="D162" s="83" t="s">
        <v>380</v>
      </c>
      <c r="E162" s="309">
        <f>'6.1. Інша інфо_1'!F14</f>
        <v>249</v>
      </c>
      <c r="F162" s="309">
        <f>'6.1. Інша інфо_1'!I14</f>
        <v>215</v>
      </c>
      <c r="G162" s="104">
        <f t="shared" si="11"/>
        <v>-34</v>
      </c>
      <c r="H162" s="140">
        <f t="shared" si="12"/>
        <v>86.345381526104418</v>
      </c>
    </row>
    <row r="163" spans="1:9" s="5" customFormat="1" ht="20.100000000000001" customHeight="1">
      <c r="A163" s="81" t="s">
        <v>5</v>
      </c>
      <c r="B163" s="120" t="s">
        <v>315</v>
      </c>
      <c r="C163" s="290">
        <f>C76</f>
        <v>81647</v>
      </c>
      <c r="D163" s="83" t="s">
        <v>380</v>
      </c>
      <c r="E163" s="290">
        <f>E76</f>
        <v>99260</v>
      </c>
      <c r="F163" s="290">
        <f>F76</f>
        <v>89514</v>
      </c>
      <c r="G163" s="180">
        <f t="shared" si="11"/>
        <v>-9746</v>
      </c>
      <c r="H163" s="141">
        <f t="shared" si="12"/>
        <v>90.181341930284091</v>
      </c>
    </row>
    <row r="164" spans="1:9" s="5" customFormat="1" ht="37.5">
      <c r="A164" s="81" t="s">
        <v>247</v>
      </c>
      <c r="B164" s="120" t="s">
        <v>316</v>
      </c>
      <c r="C164" s="290">
        <f>C163/C159/12*1000</f>
        <v>26371.770025839793</v>
      </c>
      <c r="D164" s="83" t="s">
        <v>380</v>
      </c>
      <c r="E164" s="290">
        <f>(E163/E159)/12*1000</f>
        <v>24989.929506545821</v>
      </c>
      <c r="F164" s="290">
        <f>(F163/F159)/12*1000</f>
        <v>25901.041666666668</v>
      </c>
      <c r="G164" s="180">
        <f t="shared" si="11"/>
        <v>911.11216012084697</v>
      </c>
      <c r="H164" s="141">
        <f t="shared" si="12"/>
        <v>103.64591728793069</v>
      </c>
    </row>
    <row r="165" spans="1:9" s="5" customFormat="1" ht="20.100000000000001" customHeight="1">
      <c r="A165" s="8" t="s">
        <v>198</v>
      </c>
      <c r="B165" s="120" t="s">
        <v>317</v>
      </c>
      <c r="C165" s="290">
        <v>71741.7</v>
      </c>
      <c r="D165" s="83" t="s">
        <v>380</v>
      </c>
      <c r="E165" s="302">
        <f>'6.1. Інша інфо_1'!F24</f>
        <v>108633.33333333333</v>
      </c>
      <c r="F165" s="302">
        <f>'6.1. Інша інфо_1'!I24</f>
        <v>83475.000000000015</v>
      </c>
      <c r="G165" s="104">
        <f t="shared" si="11"/>
        <v>-25158.333333333314</v>
      </c>
      <c r="H165" s="140">
        <f t="shared" si="12"/>
        <v>76.841055538508769</v>
      </c>
    </row>
    <row r="166" spans="1:9" s="5" customFormat="1" ht="20.100000000000001" customHeight="1">
      <c r="A166" s="8" t="s">
        <v>197</v>
      </c>
      <c r="B166" s="120" t="s">
        <v>318</v>
      </c>
      <c r="C166" s="290">
        <v>24723.5</v>
      </c>
      <c r="D166" s="83" t="s">
        <v>380</v>
      </c>
      <c r="E166" s="302">
        <f>'6.1. Інша інфо_1'!F25</f>
        <v>23636.213991769549</v>
      </c>
      <c r="F166" s="302">
        <f>'6.1. Інша інфо_1'!I25</f>
        <v>25684.027777777774</v>
      </c>
      <c r="G166" s="104">
        <f t="shared" si="11"/>
        <v>2047.8137860082243</v>
      </c>
      <c r="H166" s="140">
        <f t="shared" si="12"/>
        <v>108.66388240824567</v>
      </c>
    </row>
    <row r="167" spans="1:9" s="5" customFormat="1" ht="20.100000000000001" customHeight="1">
      <c r="A167" s="8" t="s">
        <v>199</v>
      </c>
      <c r="B167" s="120" t="s">
        <v>319</v>
      </c>
      <c r="C167" s="290">
        <v>26768</v>
      </c>
      <c r="D167" s="83" t="s">
        <v>380</v>
      </c>
      <c r="E167" s="302">
        <f>'6.1. Інша інфо_1'!F26</f>
        <v>25094.377510040162</v>
      </c>
      <c r="F167" s="302">
        <f>'6.1. Інша інфо_1'!I26</f>
        <v>25705.930232558141</v>
      </c>
      <c r="G167" s="104">
        <f t="shared" si="11"/>
        <v>611.55272251797942</v>
      </c>
      <c r="H167" s="140">
        <f t="shared" si="12"/>
        <v>102.43701092913462</v>
      </c>
    </row>
    <row r="168" spans="1:9" s="5" customFormat="1" ht="20.100000000000001" customHeight="1">
      <c r="A168" s="28"/>
      <c r="B168" s="136"/>
      <c r="C168" s="137"/>
      <c r="D168" s="137"/>
      <c r="E168" s="138"/>
      <c r="F168" s="138"/>
      <c r="G168" s="138"/>
      <c r="H168" s="139"/>
    </row>
    <row r="169" spans="1:9" s="5" customFormat="1" ht="20.100000000000001" customHeight="1">
      <c r="A169" s="28"/>
      <c r="B169" s="136"/>
      <c r="C169" s="137"/>
      <c r="D169" s="137"/>
      <c r="E169" s="138"/>
      <c r="F169" s="138"/>
      <c r="G169" s="138"/>
      <c r="H169" s="139"/>
    </row>
    <row r="170" spans="1:9" s="5" customFormat="1" ht="20.100000000000001" customHeight="1">
      <c r="A170" s="28"/>
      <c r="B170" s="136"/>
      <c r="C170" s="137"/>
      <c r="D170" s="137"/>
      <c r="E170" s="138"/>
      <c r="F170" s="138"/>
      <c r="G170" s="138"/>
      <c r="H170" s="139"/>
    </row>
    <row r="171" spans="1:9" s="5" customFormat="1" ht="20.100000000000001" customHeight="1">
      <c r="A171" s="28"/>
      <c r="B171" s="136"/>
      <c r="C171" s="137"/>
      <c r="D171" s="137"/>
      <c r="E171" s="138"/>
      <c r="F171" s="138"/>
      <c r="G171" s="138"/>
      <c r="H171" s="139"/>
    </row>
    <row r="172" spans="1:9">
      <c r="A172" s="64"/>
    </row>
    <row r="173" spans="1:9">
      <c r="A173" s="55" t="s">
        <v>597</v>
      </c>
      <c r="B173" s="1"/>
      <c r="C173" s="399" t="s">
        <v>93</v>
      </c>
      <c r="D173" s="400"/>
      <c r="E173" s="400"/>
      <c r="F173" s="400"/>
      <c r="G173" s="391" t="s">
        <v>598</v>
      </c>
      <c r="H173" s="391"/>
    </row>
    <row r="174" spans="1:9" s="2" customFormat="1" ht="20.100000000000001" customHeight="1">
      <c r="A174" s="74"/>
      <c r="B174" s="3"/>
      <c r="C174" s="394" t="s">
        <v>72</v>
      </c>
      <c r="D174" s="394"/>
      <c r="E174" s="394"/>
      <c r="F174" s="394"/>
      <c r="G174" s="398"/>
      <c r="H174" s="398"/>
      <c r="I174" s="4"/>
    </row>
    <row r="175" spans="1:9">
      <c r="A175" s="64"/>
    </row>
    <row r="176" spans="1:9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  <row r="325" spans="1:1">
      <c r="A325" s="64"/>
    </row>
    <row r="326" spans="1:1">
      <c r="A326" s="64"/>
    </row>
    <row r="327" spans="1:1">
      <c r="A327" s="64"/>
    </row>
    <row r="328" spans="1:1">
      <c r="A328" s="64"/>
    </row>
    <row r="329" spans="1:1">
      <c r="A329" s="64"/>
    </row>
    <row r="330" spans="1:1">
      <c r="A330" s="64"/>
    </row>
    <row r="331" spans="1:1">
      <c r="A331" s="64"/>
    </row>
    <row r="332" spans="1:1">
      <c r="A332" s="64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  <row r="410" spans="1:1">
      <c r="A410" s="51"/>
    </row>
    <row r="411" spans="1:1">
      <c r="A411" s="51"/>
    </row>
    <row r="412" spans="1:1">
      <c r="A412" s="51"/>
    </row>
    <row r="413" spans="1:1">
      <c r="A413" s="51"/>
    </row>
    <row r="414" spans="1:1">
      <c r="A414" s="51"/>
    </row>
    <row r="415" spans="1:1">
      <c r="A415" s="51"/>
    </row>
    <row r="416" spans="1:1">
      <c r="A416" s="51"/>
    </row>
    <row r="417" spans="1:1">
      <c r="A417" s="51"/>
    </row>
    <row r="418" spans="1:1">
      <c r="A418" s="51"/>
    </row>
    <row r="419" spans="1:1">
      <c r="A419" s="51"/>
    </row>
    <row r="420" spans="1:1">
      <c r="A420" s="51"/>
    </row>
    <row r="421" spans="1:1">
      <c r="A421" s="51"/>
    </row>
    <row r="422" spans="1:1">
      <c r="A422" s="51"/>
    </row>
    <row r="423" spans="1:1">
      <c r="A423" s="51"/>
    </row>
    <row r="424" spans="1:1">
      <c r="A424" s="51"/>
    </row>
    <row r="425" spans="1:1">
      <c r="A425" s="51"/>
    </row>
    <row r="426" spans="1:1">
      <c r="A426" s="51"/>
    </row>
    <row r="427" spans="1:1">
      <c r="A427" s="51"/>
    </row>
    <row r="428" spans="1:1">
      <c r="A428" s="51"/>
    </row>
    <row r="429" spans="1:1">
      <c r="A429" s="51"/>
    </row>
    <row r="430" spans="1:1">
      <c r="A430" s="51"/>
    </row>
    <row r="431" spans="1:1">
      <c r="A431" s="51"/>
    </row>
    <row r="432" spans="1:1">
      <c r="A432" s="51"/>
    </row>
    <row r="433" spans="1:1">
      <c r="A433" s="51"/>
    </row>
    <row r="434" spans="1:1">
      <c r="A434" s="51"/>
    </row>
    <row r="435" spans="1:1">
      <c r="A435" s="51"/>
    </row>
    <row r="436" spans="1:1">
      <c r="A436" s="51"/>
    </row>
    <row r="437" spans="1:1">
      <c r="A437" s="51"/>
    </row>
    <row r="438" spans="1:1">
      <c r="A438" s="51"/>
    </row>
    <row r="439" spans="1:1">
      <c r="A439" s="51"/>
    </row>
    <row r="440" spans="1:1">
      <c r="A440" s="51"/>
    </row>
    <row r="441" spans="1:1">
      <c r="A441" s="51"/>
    </row>
    <row r="442" spans="1:1">
      <c r="A442" s="51"/>
    </row>
    <row r="443" spans="1:1">
      <c r="A443" s="51"/>
    </row>
    <row r="444" spans="1:1">
      <c r="A444" s="51"/>
    </row>
    <row r="445" spans="1:1">
      <c r="A445" s="51"/>
    </row>
    <row r="446" spans="1:1">
      <c r="A446" s="51"/>
    </row>
    <row r="447" spans="1:1">
      <c r="A447" s="51"/>
    </row>
    <row r="448" spans="1:1">
      <c r="A448" s="51"/>
    </row>
    <row r="449" spans="1:1">
      <c r="A449" s="51"/>
    </row>
    <row r="450" spans="1:1">
      <c r="A450" s="51"/>
    </row>
    <row r="451" spans="1:1">
      <c r="A451" s="51"/>
    </row>
    <row r="452" spans="1:1">
      <c r="A452" s="51"/>
    </row>
    <row r="453" spans="1:1">
      <c r="A453" s="51"/>
    </row>
    <row r="454" spans="1:1">
      <c r="A454" s="51"/>
    </row>
    <row r="455" spans="1:1">
      <c r="A455" s="51"/>
    </row>
    <row r="456" spans="1:1">
      <c r="A456" s="51"/>
    </row>
    <row r="457" spans="1:1">
      <c r="A457" s="51"/>
    </row>
    <row r="458" spans="1:1">
      <c r="A458" s="51"/>
    </row>
    <row r="459" spans="1:1">
      <c r="A459" s="51"/>
    </row>
    <row r="460" spans="1:1">
      <c r="A460" s="51"/>
    </row>
    <row r="461" spans="1:1">
      <c r="A461" s="51"/>
    </row>
    <row r="462" spans="1:1">
      <c r="A462" s="51"/>
    </row>
    <row r="463" spans="1:1">
      <c r="A463" s="51"/>
    </row>
    <row r="464" spans="1:1">
      <c r="A464" s="51"/>
    </row>
    <row r="465" spans="1:1">
      <c r="A465" s="51"/>
    </row>
    <row r="466" spans="1:1">
      <c r="A466" s="51"/>
    </row>
    <row r="467" spans="1:1">
      <c r="A467" s="51"/>
    </row>
    <row r="468" spans="1:1">
      <c r="A468" s="51"/>
    </row>
    <row r="469" spans="1:1">
      <c r="A469" s="51"/>
    </row>
    <row r="470" spans="1:1">
      <c r="A470" s="51"/>
    </row>
    <row r="471" spans="1:1">
      <c r="A471" s="51"/>
    </row>
    <row r="472" spans="1:1">
      <c r="A472" s="51"/>
    </row>
    <row r="473" spans="1:1">
      <c r="A473" s="51"/>
    </row>
    <row r="474" spans="1:1">
      <c r="A474" s="51"/>
    </row>
    <row r="475" spans="1:1">
      <c r="A475" s="51"/>
    </row>
    <row r="476" spans="1:1">
      <c r="A476" s="51"/>
    </row>
    <row r="477" spans="1:1">
      <c r="A477" s="51"/>
    </row>
    <row r="478" spans="1:1">
      <c r="A478" s="51"/>
    </row>
    <row r="479" spans="1:1">
      <c r="A479" s="51"/>
    </row>
    <row r="480" spans="1:1">
      <c r="A480" s="51"/>
    </row>
    <row r="481" spans="1:1">
      <c r="A481" s="51"/>
    </row>
    <row r="482" spans="1:1">
      <c r="A482" s="51"/>
    </row>
    <row r="483" spans="1:1">
      <c r="A483" s="51"/>
    </row>
    <row r="484" spans="1:1">
      <c r="A484" s="51"/>
    </row>
    <row r="485" spans="1:1">
      <c r="A485" s="51"/>
    </row>
    <row r="486" spans="1:1">
      <c r="A486" s="51"/>
    </row>
    <row r="487" spans="1:1">
      <c r="A487" s="51"/>
    </row>
    <row r="488" spans="1:1">
      <c r="A488" s="51"/>
    </row>
    <row r="489" spans="1:1">
      <c r="A489" s="51"/>
    </row>
    <row r="490" spans="1:1">
      <c r="A490" s="51"/>
    </row>
    <row r="491" spans="1:1">
      <c r="A491" s="51"/>
    </row>
    <row r="492" spans="1:1">
      <c r="A492" s="51"/>
    </row>
    <row r="493" spans="1:1">
      <c r="A493" s="51"/>
    </row>
    <row r="494" spans="1:1">
      <c r="A494" s="51"/>
    </row>
    <row r="495" spans="1:1">
      <c r="A495" s="51"/>
    </row>
    <row r="496" spans="1:1">
      <c r="A496" s="51"/>
    </row>
    <row r="497" spans="1:1">
      <c r="A497" s="51"/>
    </row>
    <row r="498" spans="1:1">
      <c r="A498" s="51"/>
    </row>
  </sheetData>
  <mergeCells count="42">
    <mergeCell ref="A149:H149"/>
    <mergeCell ref="A94:H94"/>
    <mergeCell ref="A82:H82"/>
    <mergeCell ref="A33:H33"/>
    <mergeCell ref="A81:H81"/>
    <mergeCell ref="A129:H129"/>
    <mergeCell ref="A135:H135"/>
    <mergeCell ref="A108:H108"/>
    <mergeCell ref="A116:H116"/>
    <mergeCell ref="G174:H174"/>
    <mergeCell ref="G173:H173"/>
    <mergeCell ref="C173:F173"/>
    <mergeCell ref="C174:F174"/>
    <mergeCell ref="A158:H158"/>
    <mergeCell ref="F1:H1"/>
    <mergeCell ref="F2:H2"/>
    <mergeCell ref="F3:H3"/>
    <mergeCell ref="F4:H4"/>
    <mergeCell ref="B18:E18"/>
    <mergeCell ref="B16:E16"/>
    <mergeCell ref="B12:E12"/>
    <mergeCell ref="F17:G17"/>
    <mergeCell ref="B13:E13"/>
    <mergeCell ref="B14:E14"/>
    <mergeCell ref="B9:E9"/>
    <mergeCell ref="B10:E10"/>
    <mergeCell ref="B11:E11"/>
    <mergeCell ref="F16:G16"/>
    <mergeCell ref="B30:B31"/>
    <mergeCell ref="B15:E15"/>
    <mergeCell ref="A25:H25"/>
    <mergeCell ref="A24:H24"/>
    <mergeCell ref="C30:D30"/>
    <mergeCell ref="E30:H30"/>
    <mergeCell ref="B20:E20"/>
    <mergeCell ref="B17:E17"/>
    <mergeCell ref="B21:E21"/>
    <mergeCell ref="A30:A31"/>
    <mergeCell ref="A26:H26"/>
    <mergeCell ref="B19:E19"/>
    <mergeCell ref="A28:H28"/>
    <mergeCell ref="A23:H23"/>
  </mergeCells>
  <phoneticPr fontId="4" type="noConversion"/>
  <pageMargins left="0.51181102362204722" right="0.39370078740157483" top="0.78740157480314965" bottom="0.39370078740157483" header="0.31496062992125984" footer="0.19685039370078741"/>
  <pageSetup paperSize="9" scale="50" fitToHeight="0" orientation="landscape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16383" man="1"/>
    <brk id="93" max="16383" man="1"/>
    <brk id="134" max="16383" man="1"/>
  </rowBreaks>
  <ignoredErrors>
    <ignoredError sqref="H38:H42 D133 H34:H36 G109 H53 G98 H61:H80 D130 H159 G51 H85:H86 H95:H107 H109:H115 H117:H126 H150:H157 H37 H48:H49 G38:G42 H43:H47 H51 G48:G49 H50 H54:H60 C51:F51 C52 D52:F52 H52 G52 H83:H84 H87:H91 G85:G86 H93 G87:G91 G111:G112 D131 G54:G60 D132 G68 H136:H148 D134 H164:H167 F165:G167 H160:H163 G164 G130:G134 G62:G65 G114:G115" evalError="1"/>
    <ignoredError sqref="B118 B150:B157 B159:B167" numberStoredAsText="1"/>
    <ignoredError sqref="E160:E162" formula="1"/>
    <ignoredError sqref="E165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F41"/>
    <pageSetUpPr fitToPage="1"/>
  </sheetPr>
  <dimension ref="A1:K380"/>
  <sheetViews>
    <sheetView view="pageBreakPreview" zoomScale="75" zoomScaleNormal="80" zoomScaleSheetLayoutView="75" workbookViewId="0">
      <pane xSplit="2" ySplit="6" topLeftCell="C118" activePane="bottomRight" state="frozen"/>
      <selection activeCell="L67" sqref="L67:M67"/>
      <selection pane="topRight" activeCell="L67" sqref="L67:M67"/>
      <selection pane="bottomLeft" activeCell="L67" sqref="L67:M67"/>
      <selection pane="bottomRight" activeCell="I9" sqref="I9"/>
    </sheetView>
  </sheetViews>
  <sheetFormatPr defaultRowHeight="18.75" outlineLevelCol="1"/>
  <cols>
    <col min="1" max="1" width="92.85546875" style="357" customWidth="1"/>
    <col min="2" max="2" width="14.85546875" style="25" customWidth="1"/>
    <col min="3" max="4" width="22.42578125" style="383" customWidth="1" outlineLevel="1"/>
    <col min="5" max="5" width="22.42578125" style="347" customWidth="1" outlineLevel="1"/>
    <col min="6" max="6" width="22.42578125" style="347" customWidth="1"/>
    <col min="7" max="7" width="22.42578125" style="230" customWidth="1"/>
    <col min="8" max="8" width="19.85546875" style="354" customWidth="1"/>
    <col min="9" max="9" width="76.85546875" style="3" customWidth="1"/>
    <col min="10" max="16384" width="9.140625" style="3"/>
  </cols>
  <sheetData>
    <row r="1" spans="1:9">
      <c r="A1" s="418" t="s">
        <v>88</v>
      </c>
      <c r="B1" s="418"/>
      <c r="C1" s="418"/>
      <c r="D1" s="418"/>
      <c r="E1" s="418"/>
      <c r="F1" s="418"/>
      <c r="G1" s="418"/>
      <c r="H1" s="418"/>
    </row>
    <row r="2" spans="1:9" ht="12.75" customHeight="1">
      <c r="A2" s="44"/>
      <c r="B2" s="53"/>
      <c r="C2" s="372"/>
      <c r="D2" s="372"/>
      <c r="E2" s="349"/>
      <c r="F2" s="349"/>
      <c r="G2" s="228"/>
      <c r="H2" s="360"/>
    </row>
    <row r="3" spans="1:9" ht="39" customHeight="1">
      <c r="A3" s="393" t="s">
        <v>194</v>
      </c>
      <c r="B3" s="389" t="s">
        <v>18</v>
      </c>
      <c r="C3" s="421" t="s">
        <v>341</v>
      </c>
      <c r="D3" s="421"/>
      <c r="E3" s="422" t="s">
        <v>675</v>
      </c>
      <c r="F3" s="423"/>
      <c r="G3" s="423"/>
      <c r="H3" s="423"/>
      <c r="I3" s="424"/>
    </row>
    <row r="4" spans="1:9" ht="37.5">
      <c r="A4" s="393"/>
      <c r="B4" s="389"/>
      <c r="C4" s="373" t="s">
        <v>182</v>
      </c>
      <c r="D4" s="373" t="s">
        <v>183</v>
      </c>
      <c r="E4" s="345" t="s">
        <v>184</v>
      </c>
      <c r="F4" s="345" t="s">
        <v>170</v>
      </c>
      <c r="G4" s="223" t="s">
        <v>189</v>
      </c>
      <c r="H4" s="69" t="s">
        <v>190</v>
      </c>
      <c r="I4" s="7" t="s">
        <v>600</v>
      </c>
    </row>
    <row r="5" spans="1:9">
      <c r="A5" s="353">
        <v>1</v>
      </c>
      <c r="B5" s="7">
        <v>2</v>
      </c>
      <c r="C5" s="374">
        <v>3</v>
      </c>
      <c r="D5" s="373">
        <v>4</v>
      </c>
      <c r="E5" s="346">
        <v>5</v>
      </c>
      <c r="F5" s="345">
        <v>6</v>
      </c>
      <c r="G5" s="227">
        <v>7</v>
      </c>
      <c r="H5" s="352">
        <v>8</v>
      </c>
      <c r="I5" s="6">
        <v>9</v>
      </c>
    </row>
    <row r="6" spans="1:9" s="5" customFormat="1" ht="24.95" customHeight="1">
      <c r="A6" s="425" t="s">
        <v>188</v>
      </c>
      <c r="B6" s="425"/>
      <c r="C6" s="425"/>
      <c r="D6" s="425"/>
      <c r="E6" s="425"/>
      <c r="F6" s="425"/>
      <c r="G6" s="425"/>
      <c r="H6" s="425"/>
      <c r="I6" s="6"/>
    </row>
    <row r="7" spans="1:9" s="5" customFormat="1" ht="51.75" customHeight="1">
      <c r="A7" s="358" t="s">
        <v>143</v>
      </c>
      <c r="B7" s="9">
        <v>1000</v>
      </c>
      <c r="C7" s="375">
        <v>762</v>
      </c>
      <c r="D7" s="375">
        <f>F7</f>
        <v>640</v>
      </c>
      <c r="E7" s="155">
        <v>482</v>
      </c>
      <c r="F7" s="156">
        <v>640</v>
      </c>
      <c r="G7" s="142">
        <f t="shared" ref="G7:G40" si="0">F7-E7</f>
        <v>158</v>
      </c>
      <c r="H7" s="134">
        <f>(F7/E7)*100</f>
        <v>132.78008298755185</v>
      </c>
      <c r="I7" s="363" t="s">
        <v>716</v>
      </c>
    </row>
    <row r="8" spans="1:9" ht="21.75" customHeight="1">
      <c r="A8" s="159" t="s">
        <v>127</v>
      </c>
      <c r="B8" s="160">
        <v>1010</v>
      </c>
      <c r="C8" s="384">
        <f>SUM(C9:C16)</f>
        <v>-136230</v>
      </c>
      <c r="D8" s="384">
        <f>SUM(D9:D16)</f>
        <v>-119299</v>
      </c>
      <c r="E8" s="384">
        <f>SUM(E9:E16)</f>
        <v>-148930</v>
      </c>
      <c r="F8" s="384">
        <f>SUM(F9:F16)</f>
        <v>-119299</v>
      </c>
      <c r="G8" s="385">
        <f t="shared" si="0"/>
        <v>29631</v>
      </c>
      <c r="H8" s="161">
        <f>(F8/E8)*100</f>
        <v>80.104075740280663</v>
      </c>
      <c r="I8" s="6"/>
    </row>
    <row r="9" spans="1:9" s="2" customFormat="1" ht="333" customHeight="1">
      <c r="A9" s="358" t="s">
        <v>393</v>
      </c>
      <c r="B9" s="7">
        <v>1011</v>
      </c>
      <c r="C9" s="375">
        <v>-2966.5</v>
      </c>
      <c r="D9" s="375">
        <f t="shared" ref="D9:D15" si="1">F9</f>
        <v>-3081</v>
      </c>
      <c r="E9" s="156">
        <v>-8077</v>
      </c>
      <c r="F9" s="156">
        <v>-3081</v>
      </c>
      <c r="G9" s="142">
        <f t="shared" si="0"/>
        <v>4996</v>
      </c>
      <c r="H9" s="134">
        <f>(F9/E9)*100</f>
        <v>38.145350996657172</v>
      </c>
      <c r="I9" s="351" t="s">
        <v>709</v>
      </c>
    </row>
    <row r="10" spans="1:9" s="2" customFormat="1" ht="31.5">
      <c r="A10" s="358" t="s">
        <v>394</v>
      </c>
      <c r="B10" s="7">
        <v>1012</v>
      </c>
      <c r="C10" s="375">
        <v>-4513</v>
      </c>
      <c r="D10" s="375">
        <f t="shared" si="1"/>
        <v>-8126</v>
      </c>
      <c r="E10" s="156">
        <v>-14374</v>
      </c>
      <c r="F10" s="156">
        <v>-8126</v>
      </c>
      <c r="G10" s="142">
        <f t="shared" si="0"/>
        <v>6248</v>
      </c>
      <c r="H10" s="134">
        <f>(F10/E10)*100</f>
        <v>56.532628356755254</v>
      </c>
      <c r="I10" s="364" t="s">
        <v>629</v>
      </c>
    </row>
    <row r="11" spans="1:9" s="2" customFormat="1" ht="47.25">
      <c r="A11" s="358" t="s">
        <v>395</v>
      </c>
      <c r="B11" s="7">
        <v>1013</v>
      </c>
      <c r="C11" s="375">
        <v>0</v>
      </c>
      <c r="D11" s="375">
        <f t="shared" si="1"/>
        <v>-686</v>
      </c>
      <c r="E11" s="156">
        <v>-878</v>
      </c>
      <c r="F11" s="156">
        <v>-686</v>
      </c>
      <c r="G11" s="142">
        <f t="shared" si="0"/>
        <v>192</v>
      </c>
      <c r="H11" s="134">
        <f>(F11/E11)*100</f>
        <v>78.13211845102505</v>
      </c>
      <c r="I11" s="364" t="s">
        <v>717</v>
      </c>
    </row>
    <row r="12" spans="1:9" s="2" customFormat="1">
      <c r="A12" s="358" t="s">
        <v>5</v>
      </c>
      <c r="B12" s="7">
        <v>1014</v>
      </c>
      <c r="C12" s="375">
        <v>-55726.2</v>
      </c>
      <c r="D12" s="375">
        <f t="shared" si="1"/>
        <v>-62806</v>
      </c>
      <c r="E12" s="156">
        <v>-70335</v>
      </c>
      <c r="F12" s="156">
        <v>-62806</v>
      </c>
      <c r="G12" s="142">
        <f t="shared" si="0"/>
        <v>7529</v>
      </c>
      <c r="H12" s="134">
        <f t="shared" ref="H12:H40" si="2">(F12/E12)*100</f>
        <v>89.295514324305117</v>
      </c>
      <c r="I12" s="367"/>
    </row>
    <row r="13" spans="1:9" s="2" customFormat="1" ht="20.100000000000001" customHeight="1">
      <c r="A13" s="358" t="s">
        <v>6</v>
      </c>
      <c r="B13" s="7">
        <v>1015</v>
      </c>
      <c r="C13" s="375">
        <v>-11612.5</v>
      </c>
      <c r="D13" s="375">
        <f t="shared" si="1"/>
        <v>-13646</v>
      </c>
      <c r="E13" s="156">
        <v>-15474</v>
      </c>
      <c r="F13" s="156">
        <v>-13646</v>
      </c>
      <c r="G13" s="142">
        <f t="shared" si="0"/>
        <v>1828</v>
      </c>
      <c r="H13" s="134">
        <f t="shared" si="2"/>
        <v>88.18663564689156</v>
      </c>
      <c r="I13" s="365" t="s">
        <v>601</v>
      </c>
    </row>
    <row r="14" spans="1:9" s="2" customFormat="1" ht="214.5" customHeight="1">
      <c r="A14" s="358" t="s">
        <v>396</v>
      </c>
      <c r="B14" s="7">
        <v>1016</v>
      </c>
      <c r="C14" s="375">
        <v>-34262.6</v>
      </c>
      <c r="D14" s="375">
        <f t="shared" si="1"/>
        <v>-6069</v>
      </c>
      <c r="E14" s="156">
        <v>-9843</v>
      </c>
      <c r="F14" s="156">
        <v>-6069</v>
      </c>
      <c r="G14" s="142">
        <f t="shared" si="0"/>
        <v>3774</v>
      </c>
      <c r="H14" s="134">
        <f t="shared" si="2"/>
        <v>61.6580310880829</v>
      </c>
      <c r="I14" s="361" t="s">
        <v>718</v>
      </c>
    </row>
    <row r="15" spans="1:9" s="2" customFormat="1">
      <c r="A15" s="358" t="s">
        <v>397</v>
      </c>
      <c r="B15" s="7">
        <v>1017</v>
      </c>
      <c r="C15" s="375">
        <v>-9106.2999999999993</v>
      </c>
      <c r="D15" s="375">
        <f t="shared" si="1"/>
        <v>-13800</v>
      </c>
      <c r="E15" s="156">
        <v>-14692</v>
      </c>
      <c r="F15" s="156">
        <v>-13800</v>
      </c>
      <c r="G15" s="142">
        <f t="shared" si="0"/>
        <v>892</v>
      </c>
      <c r="H15" s="134">
        <f t="shared" si="2"/>
        <v>93.928668663218076</v>
      </c>
      <c r="I15" s="367"/>
    </row>
    <row r="16" spans="1:9" s="2" customFormat="1" ht="20.100000000000001" customHeight="1">
      <c r="A16" s="358" t="s">
        <v>398</v>
      </c>
      <c r="B16" s="7">
        <v>1018</v>
      </c>
      <c r="C16" s="375">
        <f>SUM(C17:C19)</f>
        <v>-18042.900000000001</v>
      </c>
      <c r="D16" s="375">
        <f>SUM(D17:D19)</f>
        <v>-11085</v>
      </c>
      <c r="E16" s="155">
        <f>SUM(E17:E19)</f>
        <v>-15257</v>
      </c>
      <c r="F16" s="155">
        <f>SUM(F17:F19)</f>
        <v>-11085</v>
      </c>
      <c r="G16" s="142">
        <f t="shared" si="0"/>
        <v>4172</v>
      </c>
      <c r="H16" s="134">
        <f t="shared" si="2"/>
        <v>72.655174673920158</v>
      </c>
      <c r="I16" s="252" t="s">
        <v>508</v>
      </c>
    </row>
    <row r="17" spans="1:9" s="2" customFormat="1" ht="108.75" customHeight="1">
      <c r="A17" s="146" t="s">
        <v>527</v>
      </c>
      <c r="B17" s="7" t="s">
        <v>428</v>
      </c>
      <c r="C17" s="375">
        <v>-14131.6</v>
      </c>
      <c r="D17" s="375">
        <f t="shared" ref="D17:D18" si="3">F17</f>
        <v>-5898</v>
      </c>
      <c r="E17" s="156">
        <v>-6516</v>
      </c>
      <c r="F17" s="156">
        <v>-5898</v>
      </c>
      <c r="G17" s="142">
        <f t="shared" si="0"/>
        <v>618</v>
      </c>
      <c r="H17" s="134">
        <f t="shared" si="2"/>
        <v>90.515653775322278</v>
      </c>
      <c r="I17" s="368" t="s">
        <v>708</v>
      </c>
    </row>
    <row r="18" spans="1:9" s="2" customFormat="1" ht="309" customHeight="1">
      <c r="A18" s="146" t="s">
        <v>426</v>
      </c>
      <c r="B18" s="7" t="s">
        <v>429</v>
      </c>
      <c r="C18" s="375">
        <v>-1343.8</v>
      </c>
      <c r="D18" s="375">
        <f t="shared" si="3"/>
        <v>-1143</v>
      </c>
      <c r="E18" s="156">
        <v>-1762</v>
      </c>
      <c r="F18" s="156">
        <v>-1143</v>
      </c>
      <c r="G18" s="142">
        <f t="shared" si="0"/>
        <v>619</v>
      </c>
      <c r="H18" s="134">
        <f t="shared" si="2"/>
        <v>64.869466515323495</v>
      </c>
      <c r="I18" s="351" t="s">
        <v>719</v>
      </c>
    </row>
    <row r="19" spans="1:9" s="2" customFormat="1" ht="42.75" customHeight="1">
      <c r="A19" s="146" t="s">
        <v>427</v>
      </c>
      <c r="B19" s="7" t="s">
        <v>458</v>
      </c>
      <c r="C19" s="375">
        <f>SUM(C20:C33)</f>
        <v>-2567.5000000000005</v>
      </c>
      <c r="D19" s="376">
        <f>SUM(D20:D33)</f>
        <v>-4044</v>
      </c>
      <c r="E19" s="156">
        <f>SUM(E20:E33)</f>
        <v>-6979</v>
      </c>
      <c r="F19" s="156">
        <f>SUM(F20:F33)</f>
        <v>-4044</v>
      </c>
      <c r="G19" s="142">
        <f t="shared" si="0"/>
        <v>2935</v>
      </c>
      <c r="H19" s="134">
        <f t="shared" si="2"/>
        <v>57.945264364522146</v>
      </c>
      <c r="I19" s="369" t="s">
        <v>508</v>
      </c>
    </row>
    <row r="20" spans="1:9" s="2" customFormat="1" ht="47.25">
      <c r="A20" s="358" t="s">
        <v>479</v>
      </c>
      <c r="B20" s="7" t="s">
        <v>480</v>
      </c>
      <c r="C20" s="375">
        <v>-74.400000000000006</v>
      </c>
      <c r="D20" s="375">
        <f t="shared" ref="D20:D32" si="4">F20</f>
        <v>-57</v>
      </c>
      <c r="E20" s="156">
        <v>-81</v>
      </c>
      <c r="F20" s="156">
        <v>-57</v>
      </c>
      <c r="G20" s="142">
        <f t="shared" si="0"/>
        <v>24</v>
      </c>
      <c r="H20" s="134">
        <f t="shared" si="2"/>
        <v>70.370370370370367</v>
      </c>
      <c r="I20" s="367" t="s">
        <v>710</v>
      </c>
    </row>
    <row r="21" spans="1:9" s="2" customFormat="1">
      <c r="A21" s="358" t="s">
        <v>604</v>
      </c>
      <c r="B21" s="7" t="s">
        <v>481</v>
      </c>
      <c r="C21" s="375">
        <v>-32.9</v>
      </c>
      <c r="D21" s="375">
        <f t="shared" si="4"/>
        <v>-47</v>
      </c>
      <c r="E21" s="156">
        <v>-82</v>
      </c>
      <c r="F21" s="156">
        <v>-47</v>
      </c>
      <c r="G21" s="142">
        <f t="shared" si="0"/>
        <v>35</v>
      </c>
      <c r="H21" s="134">
        <f t="shared" si="2"/>
        <v>57.317073170731703</v>
      </c>
      <c r="I21" s="365" t="s">
        <v>711</v>
      </c>
    </row>
    <row r="22" spans="1:9" s="2" customFormat="1" ht="165" customHeight="1">
      <c r="A22" s="358" t="s">
        <v>482</v>
      </c>
      <c r="B22" s="7" t="s">
        <v>483</v>
      </c>
      <c r="C22" s="375">
        <v>-432.8</v>
      </c>
      <c r="D22" s="375">
        <f t="shared" si="4"/>
        <v>-838</v>
      </c>
      <c r="E22" s="156">
        <v>-1512</v>
      </c>
      <c r="F22" s="156">
        <v>-838</v>
      </c>
      <c r="G22" s="142">
        <f t="shared" si="0"/>
        <v>674</v>
      </c>
      <c r="H22" s="134">
        <f t="shared" si="2"/>
        <v>55.423280423280417</v>
      </c>
      <c r="I22" s="361" t="s">
        <v>712</v>
      </c>
    </row>
    <row r="23" spans="1:9" s="2" customFormat="1" ht="114" customHeight="1">
      <c r="A23" s="358" t="s">
        <v>484</v>
      </c>
      <c r="B23" s="7" t="s">
        <v>485</v>
      </c>
      <c r="C23" s="375">
        <v>-250.1</v>
      </c>
      <c r="D23" s="375">
        <f t="shared" si="4"/>
        <v>-497</v>
      </c>
      <c r="E23" s="156">
        <v>-766</v>
      </c>
      <c r="F23" s="156">
        <v>-497</v>
      </c>
      <c r="G23" s="142">
        <f t="shared" si="0"/>
        <v>269</v>
      </c>
      <c r="H23" s="134">
        <f t="shared" si="2"/>
        <v>64.882506527415146</v>
      </c>
      <c r="I23" s="362" t="s">
        <v>713</v>
      </c>
    </row>
    <row r="24" spans="1:9" s="2" customFormat="1">
      <c r="A24" s="358" t="s">
        <v>612</v>
      </c>
      <c r="B24" s="7" t="s">
        <v>486</v>
      </c>
      <c r="C24" s="375"/>
      <c r="D24" s="375">
        <f t="shared" si="4"/>
        <v>0</v>
      </c>
      <c r="E24" s="156">
        <v>-545</v>
      </c>
      <c r="F24" s="156">
        <v>0</v>
      </c>
      <c r="G24" s="142">
        <f t="shared" si="0"/>
        <v>545</v>
      </c>
      <c r="H24" s="134">
        <f t="shared" si="2"/>
        <v>0</v>
      </c>
      <c r="I24" s="364" t="s">
        <v>720</v>
      </c>
    </row>
    <row r="25" spans="1:9" s="2" customFormat="1">
      <c r="A25" s="358" t="s">
        <v>529</v>
      </c>
      <c r="B25" s="7" t="s">
        <v>487</v>
      </c>
      <c r="C25" s="375">
        <v>-180.2</v>
      </c>
      <c r="D25" s="375">
        <f t="shared" si="4"/>
        <v>0</v>
      </c>
      <c r="E25" s="156"/>
      <c r="F25" s="156">
        <v>0</v>
      </c>
      <c r="G25" s="142">
        <f t="shared" si="0"/>
        <v>0</v>
      </c>
      <c r="H25" s="134"/>
      <c r="I25" s="369"/>
    </row>
    <row r="26" spans="1:9" s="2" customFormat="1" ht="33.75" customHeight="1">
      <c r="A26" s="358" t="s">
        <v>488</v>
      </c>
      <c r="B26" s="7" t="s">
        <v>489</v>
      </c>
      <c r="C26" s="375">
        <v>-342.2</v>
      </c>
      <c r="D26" s="375">
        <f t="shared" si="4"/>
        <v>-376</v>
      </c>
      <c r="E26" s="156">
        <v>-377</v>
      </c>
      <c r="F26" s="156">
        <v>-376</v>
      </c>
      <c r="G26" s="142">
        <f t="shared" si="0"/>
        <v>1</v>
      </c>
      <c r="H26" s="134">
        <f t="shared" si="2"/>
        <v>99.734748010610076</v>
      </c>
      <c r="I26" s="369"/>
    </row>
    <row r="27" spans="1:9" s="2" customFormat="1" ht="98.25" customHeight="1">
      <c r="A27" s="358" t="s">
        <v>490</v>
      </c>
      <c r="B27" s="7" t="s">
        <v>491</v>
      </c>
      <c r="C27" s="375">
        <v>-96.9</v>
      </c>
      <c r="D27" s="375">
        <f t="shared" si="4"/>
        <v>-128</v>
      </c>
      <c r="E27" s="156">
        <v>-252</v>
      </c>
      <c r="F27" s="156">
        <v>-128</v>
      </c>
      <c r="G27" s="142">
        <f t="shared" si="0"/>
        <v>124</v>
      </c>
      <c r="H27" s="134">
        <f t="shared" si="2"/>
        <v>50.793650793650791</v>
      </c>
      <c r="I27" s="367" t="s">
        <v>632</v>
      </c>
    </row>
    <row r="28" spans="1:9" s="2" customFormat="1">
      <c r="A28" s="358" t="s">
        <v>602</v>
      </c>
      <c r="B28" s="7" t="s">
        <v>492</v>
      </c>
      <c r="C28" s="375">
        <v>-15.5</v>
      </c>
      <c r="D28" s="375">
        <f t="shared" si="4"/>
        <v>-11</v>
      </c>
      <c r="E28" s="156">
        <v>-30</v>
      </c>
      <c r="F28" s="156">
        <v>-11</v>
      </c>
      <c r="G28" s="142">
        <f t="shared" si="0"/>
        <v>19</v>
      </c>
      <c r="H28" s="134">
        <f t="shared" si="2"/>
        <v>36.666666666666664</v>
      </c>
      <c r="I28" s="365" t="s">
        <v>711</v>
      </c>
    </row>
    <row r="29" spans="1:9" s="2" customFormat="1" ht="223.5" customHeight="1">
      <c r="A29" s="358" t="s">
        <v>493</v>
      </c>
      <c r="B29" s="7" t="s">
        <v>494</v>
      </c>
      <c r="C29" s="375">
        <v>-395.6</v>
      </c>
      <c r="D29" s="375">
        <f t="shared" si="4"/>
        <v>-602</v>
      </c>
      <c r="E29" s="156">
        <v>-1389</v>
      </c>
      <c r="F29" s="156">
        <v>-602</v>
      </c>
      <c r="G29" s="142">
        <f t="shared" si="0"/>
        <v>787</v>
      </c>
      <c r="H29" s="134">
        <f t="shared" si="2"/>
        <v>43.340532757379407</v>
      </c>
      <c r="I29" s="361" t="s">
        <v>714</v>
      </c>
    </row>
    <row r="30" spans="1:9" s="2" customFormat="1" ht="100.5" customHeight="1">
      <c r="A30" s="358" t="s">
        <v>613</v>
      </c>
      <c r="B30" s="7" t="s">
        <v>520</v>
      </c>
      <c r="C30" s="375">
        <v>-490</v>
      </c>
      <c r="D30" s="375">
        <f t="shared" si="4"/>
        <v>-658</v>
      </c>
      <c r="E30" s="156">
        <v>-883</v>
      </c>
      <c r="F30" s="156">
        <v>-658</v>
      </c>
      <c r="G30" s="142">
        <f t="shared" si="0"/>
        <v>225</v>
      </c>
      <c r="H30" s="134">
        <f t="shared" si="2"/>
        <v>74.518686296715742</v>
      </c>
      <c r="I30" s="364" t="s">
        <v>633</v>
      </c>
    </row>
    <row r="31" spans="1:9" s="2" customFormat="1">
      <c r="A31" s="358" t="s">
        <v>519</v>
      </c>
      <c r="B31" s="7" t="s">
        <v>521</v>
      </c>
      <c r="C31" s="375">
        <v>-27.6</v>
      </c>
      <c r="D31" s="375">
        <f t="shared" si="4"/>
        <v>-32</v>
      </c>
      <c r="E31" s="156">
        <v>-32</v>
      </c>
      <c r="F31" s="156">
        <v>-32</v>
      </c>
      <c r="G31" s="142">
        <f t="shared" si="0"/>
        <v>0</v>
      </c>
      <c r="H31" s="134">
        <f t="shared" si="2"/>
        <v>100</v>
      </c>
      <c r="I31" s="365" t="s">
        <v>508</v>
      </c>
    </row>
    <row r="32" spans="1:9" s="2" customFormat="1" ht="70.5" customHeight="1">
      <c r="A32" s="358" t="s">
        <v>572</v>
      </c>
      <c r="B32" s="7" t="s">
        <v>530</v>
      </c>
      <c r="C32" s="375">
        <v>-229.3</v>
      </c>
      <c r="D32" s="375">
        <f t="shared" si="4"/>
        <v>-798</v>
      </c>
      <c r="E32" s="156">
        <v>-996</v>
      </c>
      <c r="F32" s="156">
        <v>-798</v>
      </c>
      <c r="G32" s="142">
        <f>F32-E32</f>
        <v>198</v>
      </c>
      <c r="H32" s="134">
        <f>(F32/E32)*100</f>
        <v>80.120481927710841</v>
      </c>
      <c r="I32" s="364" t="s">
        <v>715</v>
      </c>
    </row>
    <row r="33" spans="1:9" s="2" customFormat="1">
      <c r="A33" s="358" t="s">
        <v>677</v>
      </c>
      <c r="B33" s="7"/>
      <c r="C33" s="375"/>
      <c r="D33" s="375"/>
      <c r="E33" s="156">
        <v>-34</v>
      </c>
      <c r="F33" s="156"/>
      <c r="G33" s="142">
        <f>F33-E33</f>
        <v>34</v>
      </c>
      <c r="H33" s="134">
        <f>(F33/E33)*100</f>
        <v>0</v>
      </c>
      <c r="I33" s="365"/>
    </row>
    <row r="34" spans="1:9" s="5" customFormat="1" ht="20.100000000000001" customHeight="1">
      <c r="A34" s="356" t="s">
        <v>24</v>
      </c>
      <c r="B34" s="11">
        <v>1020</v>
      </c>
      <c r="C34" s="377">
        <f>SUM(C7,C8)</f>
        <v>-135468</v>
      </c>
      <c r="D34" s="378">
        <f>SUM(D7,D8)</f>
        <v>-118659</v>
      </c>
      <c r="E34" s="157">
        <f>E8+E7</f>
        <v>-148448</v>
      </c>
      <c r="F34" s="157">
        <f>SUM(F7,F8)</f>
        <v>-118659</v>
      </c>
      <c r="G34" s="142">
        <f t="shared" si="0"/>
        <v>29789</v>
      </c>
      <c r="H34" s="134">
        <f t="shared" si="2"/>
        <v>79.933040525975429</v>
      </c>
      <c r="I34" s="365"/>
    </row>
    <row r="35" spans="1:9" ht="20.100000000000001" customHeight="1">
      <c r="A35" s="159" t="s">
        <v>153</v>
      </c>
      <c r="B35" s="160">
        <v>1030</v>
      </c>
      <c r="C35" s="384">
        <f>SUM(C36:C55,C57)</f>
        <v>-38527.999999999993</v>
      </c>
      <c r="D35" s="386">
        <f>SUM(D36:D55,D57)</f>
        <v>-40424</v>
      </c>
      <c r="E35" s="386">
        <f>SUM(E36:E55,E57)</f>
        <v>-41903</v>
      </c>
      <c r="F35" s="386">
        <f>SUM(F36:F55,F57)</f>
        <v>-40424</v>
      </c>
      <c r="G35" s="385">
        <f t="shared" si="0"/>
        <v>1479</v>
      </c>
      <c r="H35" s="161">
        <f t="shared" si="2"/>
        <v>96.47041977901344</v>
      </c>
      <c r="I35" s="365"/>
    </row>
    <row r="36" spans="1:9" ht="61.5" customHeight="1">
      <c r="A36" s="358" t="s">
        <v>96</v>
      </c>
      <c r="B36" s="9">
        <v>1031</v>
      </c>
      <c r="C36" s="379">
        <v>-17.7</v>
      </c>
      <c r="D36" s="376">
        <f>F36</f>
        <v>-12</v>
      </c>
      <c r="E36" s="156">
        <v>-26</v>
      </c>
      <c r="F36" s="156">
        <v>-12</v>
      </c>
      <c r="G36" s="142">
        <f t="shared" si="0"/>
        <v>14</v>
      </c>
      <c r="H36" s="134">
        <f t="shared" si="2"/>
        <v>46.153846153846153</v>
      </c>
      <c r="I36" s="364" t="s">
        <v>702</v>
      </c>
    </row>
    <row r="37" spans="1:9" ht="20.100000000000001" customHeight="1">
      <c r="A37" s="358" t="s">
        <v>145</v>
      </c>
      <c r="B37" s="9">
        <v>1032</v>
      </c>
      <c r="C37" s="375" t="s">
        <v>229</v>
      </c>
      <c r="D37" s="376"/>
      <c r="E37" s="156" t="s">
        <v>229</v>
      </c>
      <c r="F37" s="156"/>
      <c r="G37" s="142" t="e">
        <f t="shared" si="0"/>
        <v>#VALUE!</v>
      </c>
      <c r="H37" s="134" t="e">
        <f t="shared" si="2"/>
        <v>#VALUE!</v>
      </c>
      <c r="I37" s="252"/>
    </row>
    <row r="38" spans="1:9" ht="20.100000000000001" customHeight="1">
      <c r="A38" s="358" t="s">
        <v>58</v>
      </c>
      <c r="B38" s="9">
        <v>1033</v>
      </c>
      <c r="C38" s="375" t="s">
        <v>229</v>
      </c>
      <c r="D38" s="376"/>
      <c r="E38" s="156" t="s">
        <v>229</v>
      </c>
      <c r="F38" s="156"/>
      <c r="G38" s="142" t="e">
        <f t="shared" si="0"/>
        <v>#VALUE!</v>
      </c>
      <c r="H38" s="134" t="e">
        <f t="shared" si="2"/>
        <v>#VALUE!</v>
      </c>
      <c r="I38" s="252"/>
    </row>
    <row r="39" spans="1:9" ht="20.100000000000001" customHeight="1">
      <c r="A39" s="358" t="s">
        <v>22</v>
      </c>
      <c r="B39" s="9">
        <v>1034</v>
      </c>
      <c r="C39" s="375" t="s">
        <v>229</v>
      </c>
      <c r="D39" s="376"/>
      <c r="E39" s="156" t="s">
        <v>229</v>
      </c>
      <c r="F39" s="156"/>
      <c r="G39" s="142" t="e">
        <f t="shared" si="0"/>
        <v>#VALUE!</v>
      </c>
      <c r="H39" s="134" t="e">
        <f t="shared" si="2"/>
        <v>#VALUE!</v>
      </c>
      <c r="I39" s="252"/>
    </row>
    <row r="40" spans="1:9" ht="20.100000000000001" customHeight="1">
      <c r="A40" s="358" t="s">
        <v>23</v>
      </c>
      <c r="B40" s="9">
        <v>1035</v>
      </c>
      <c r="C40" s="375" t="s">
        <v>229</v>
      </c>
      <c r="D40" s="376"/>
      <c r="E40" s="156" t="s">
        <v>229</v>
      </c>
      <c r="F40" s="156"/>
      <c r="G40" s="142" t="e">
        <f t="shared" si="0"/>
        <v>#VALUE!</v>
      </c>
      <c r="H40" s="134" t="e">
        <f t="shared" si="2"/>
        <v>#VALUE!</v>
      </c>
      <c r="I40" s="252"/>
    </row>
    <row r="41" spans="1:9" s="2" customFormat="1" ht="305.25" customHeight="1">
      <c r="A41" s="358" t="s">
        <v>34</v>
      </c>
      <c r="B41" s="9">
        <v>1036</v>
      </c>
      <c r="C41" s="375">
        <v>-1224.8</v>
      </c>
      <c r="D41" s="376">
        <f t="shared" ref="D41:D55" si="5">F41</f>
        <v>-1319</v>
      </c>
      <c r="E41" s="156">
        <v>-1671</v>
      </c>
      <c r="F41" s="156">
        <v>-1319</v>
      </c>
      <c r="G41" s="142">
        <f t="shared" ref="G41:G70" si="6">F41-E41</f>
        <v>352</v>
      </c>
      <c r="H41" s="134">
        <f t="shared" ref="H41:H50" si="7">(F41/E41)*100</f>
        <v>78.934769599042482</v>
      </c>
      <c r="I41" s="351" t="s">
        <v>719</v>
      </c>
    </row>
    <row r="42" spans="1:9" s="2" customFormat="1" ht="53.25" customHeight="1">
      <c r="A42" s="358" t="s">
        <v>35</v>
      </c>
      <c r="B42" s="9">
        <v>1037</v>
      </c>
      <c r="C42" s="375">
        <v>-120.5</v>
      </c>
      <c r="D42" s="376">
        <f t="shared" si="5"/>
        <v>-83</v>
      </c>
      <c r="E42" s="156">
        <v>-142</v>
      </c>
      <c r="F42" s="156">
        <v>-83</v>
      </c>
      <c r="G42" s="142">
        <f t="shared" si="6"/>
        <v>59</v>
      </c>
      <c r="H42" s="134">
        <f t="shared" si="7"/>
        <v>58.450704225352112</v>
      </c>
      <c r="I42" s="364" t="s">
        <v>625</v>
      </c>
    </row>
    <row r="43" spans="1:9" s="2" customFormat="1" ht="33" customHeight="1">
      <c r="A43" s="358" t="s">
        <v>36</v>
      </c>
      <c r="B43" s="9">
        <v>1038</v>
      </c>
      <c r="C43" s="375">
        <v>-20136.400000000001</v>
      </c>
      <c r="D43" s="376">
        <f t="shared" si="5"/>
        <v>-21142</v>
      </c>
      <c r="E43" s="156">
        <v>-21709</v>
      </c>
      <c r="F43" s="156">
        <v>-21142</v>
      </c>
      <c r="G43" s="142">
        <f t="shared" si="6"/>
        <v>567</v>
      </c>
      <c r="H43" s="134">
        <f t="shared" si="7"/>
        <v>97.388180017504254</v>
      </c>
      <c r="I43" s="365"/>
    </row>
    <row r="44" spans="1:9" s="2" customFormat="1" ht="20.100000000000001" customHeight="1">
      <c r="A44" s="358" t="s">
        <v>37</v>
      </c>
      <c r="B44" s="9">
        <v>1039</v>
      </c>
      <c r="C44" s="375">
        <v>-4118.3</v>
      </c>
      <c r="D44" s="376">
        <f t="shared" si="5"/>
        <v>-4603</v>
      </c>
      <c r="E44" s="156">
        <v>-4776</v>
      </c>
      <c r="F44" s="156">
        <v>-4603</v>
      </c>
      <c r="G44" s="142">
        <f t="shared" si="6"/>
        <v>173</v>
      </c>
      <c r="H44" s="134">
        <f t="shared" si="7"/>
        <v>96.377721943048584</v>
      </c>
      <c r="I44" s="365"/>
    </row>
    <row r="45" spans="1:9" s="2" customFormat="1" ht="60" customHeight="1">
      <c r="A45" s="358" t="s">
        <v>38</v>
      </c>
      <c r="B45" s="9">
        <v>1040</v>
      </c>
      <c r="C45" s="375">
        <v>-722.1</v>
      </c>
      <c r="D45" s="376">
        <f t="shared" si="5"/>
        <v>-1327</v>
      </c>
      <c r="E45" s="156">
        <v>-918</v>
      </c>
      <c r="F45" s="156">
        <v>-1327</v>
      </c>
      <c r="G45" s="142">
        <f t="shared" si="6"/>
        <v>-409</v>
      </c>
      <c r="H45" s="134">
        <f t="shared" si="7"/>
        <v>144.55337690631808</v>
      </c>
      <c r="I45" s="364" t="s">
        <v>705</v>
      </c>
    </row>
    <row r="46" spans="1:9" s="2" customFormat="1" ht="42.75" customHeight="1">
      <c r="A46" s="358" t="s">
        <v>39</v>
      </c>
      <c r="B46" s="9">
        <v>1041</v>
      </c>
      <c r="C46" s="375">
        <v>-7336.3</v>
      </c>
      <c r="D46" s="376">
        <f t="shared" si="5"/>
        <v>-7668</v>
      </c>
      <c r="E46" s="156">
        <v>-7641</v>
      </c>
      <c r="F46" s="156">
        <v>-7668</v>
      </c>
      <c r="G46" s="142">
        <f t="shared" si="6"/>
        <v>-27</v>
      </c>
      <c r="H46" s="134">
        <f t="shared" si="7"/>
        <v>100.35335689045937</v>
      </c>
      <c r="I46" s="365"/>
    </row>
    <row r="47" spans="1:9" s="2" customFormat="1" ht="20.100000000000001" customHeight="1">
      <c r="A47" s="358" t="s">
        <v>40</v>
      </c>
      <c r="B47" s="9">
        <v>1042</v>
      </c>
      <c r="C47" s="375" t="s">
        <v>229</v>
      </c>
      <c r="D47" s="376">
        <f t="shared" si="5"/>
        <v>0</v>
      </c>
      <c r="E47" s="156">
        <v>0</v>
      </c>
      <c r="F47" s="156"/>
      <c r="G47" s="142">
        <f t="shared" si="6"/>
        <v>0</v>
      </c>
      <c r="H47" s="134" t="e">
        <f t="shared" si="7"/>
        <v>#DIV/0!</v>
      </c>
      <c r="I47" s="252"/>
    </row>
    <row r="48" spans="1:9" s="2" customFormat="1" ht="19.5" customHeight="1">
      <c r="A48" s="358" t="s">
        <v>41</v>
      </c>
      <c r="B48" s="9">
        <v>1043</v>
      </c>
      <c r="C48" s="375" t="s">
        <v>229</v>
      </c>
      <c r="D48" s="376">
        <f t="shared" si="5"/>
        <v>0</v>
      </c>
      <c r="E48" s="156">
        <v>0</v>
      </c>
      <c r="F48" s="156"/>
      <c r="G48" s="142">
        <f t="shared" si="6"/>
        <v>0</v>
      </c>
      <c r="H48" s="134" t="e">
        <f t="shared" si="7"/>
        <v>#DIV/0!</v>
      </c>
      <c r="I48" s="252"/>
    </row>
    <row r="49" spans="1:9" s="2" customFormat="1" ht="42" customHeight="1">
      <c r="A49" s="358" t="s">
        <v>42</v>
      </c>
      <c r="B49" s="9">
        <v>1044</v>
      </c>
      <c r="C49" s="375">
        <v>-87.9</v>
      </c>
      <c r="D49" s="376">
        <f t="shared" si="5"/>
        <v>-57</v>
      </c>
      <c r="E49" s="156">
        <v>-70</v>
      </c>
      <c r="F49" s="156">
        <v>-57</v>
      </c>
      <c r="G49" s="142">
        <f t="shared" si="6"/>
        <v>13</v>
      </c>
      <c r="H49" s="134">
        <f t="shared" si="7"/>
        <v>81.428571428571431</v>
      </c>
      <c r="I49" s="364" t="s">
        <v>703</v>
      </c>
    </row>
    <row r="50" spans="1:9" s="2" customFormat="1" ht="20.100000000000001" customHeight="1">
      <c r="A50" s="358" t="s">
        <v>60</v>
      </c>
      <c r="B50" s="9">
        <v>1045</v>
      </c>
      <c r="C50" s="375">
        <v>-2.7</v>
      </c>
      <c r="D50" s="376">
        <f t="shared" si="5"/>
        <v>0</v>
      </c>
      <c r="E50" s="156">
        <v>0</v>
      </c>
      <c r="F50" s="156">
        <v>0</v>
      </c>
      <c r="G50" s="142">
        <f t="shared" si="6"/>
        <v>0</v>
      </c>
      <c r="H50" s="134" t="e">
        <f t="shared" si="7"/>
        <v>#DIV/0!</v>
      </c>
      <c r="I50" s="365"/>
    </row>
    <row r="51" spans="1:9" s="2" customFormat="1" ht="141.75" customHeight="1">
      <c r="A51" s="358" t="s">
        <v>43</v>
      </c>
      <c r="B51" s="9">
        <v>1046</v>
      </c>
      <c r="C51" s="375">
        <v>-22.6</v>
      </c>
      <c r="D51" s="376">
        <f t="shared" si="5"/>
        <v>-132</v>
      </c>
      <c r="E51" s="156">
        <v>-412</v>
      </c>
      <c r="F51" s="156">
        <v>-132</v>
      </c>
      <c r="G51" s="142">
        <f t="shared" si="6"/>
        <v>280</v>
      </c>
      <c r="H51" s="134">
        <f>(F51/E51)*100</f>
        <v>32.038834951456316</v>
      </c>
      <c r="I51" s="364" t="s">
        <v>706</v>
      </c>
    </row>
    <row r="52" spans="1:9" s="2" customFormat="1" ht="20.100000000000001" customHeight="1">
      <c r="A52" s="358" t="s">
        <v>44</v>
      </c>
      <c r="B52" s="9">
        <v>1047</v>
      </c>
      <c r="C52" s="375">
        <v>-4.2</v>
      </c>
      <c r="D52" s="376">
        <f t="shared" si="5"/>
        <v>0</v>
      </c>
      <c r="E52" s="156">
        <v>-50</v>
      </c>
      <c r="F52" s="156"/>
      <c r="G52" s="142">
        <f t="shared" si="6"/>
        <v>50</v>
      </c>
      <c r="H52" s="134"/>
      <c r="I52" s="252"/>
    </row>
    <row r="53" spans="1:9" s="2" customFormat="1" ht="20.100000000000001" customHeight="1">
      <c r="A53" s="358" t="s">
        <v>45</v>
      </c>
      <c r="B53" s="9">
        <v>1048</v>
      </c>
      <c r="C53" s="375" t="s">
        <v>229</v>
      </c>
      <c r="D53" s="376">
        <f t="shared" si="5"/>
        <v>0</v>
      </c>
      <c r="E53" s="156">
        <v>0</v>
      </c>
      <c r="F53" s="156">
        <v>0</v>
      </c>
      <c r="G53" s="142">
        <f t="shared" si="6"/>
        <v>0</v>
      </c>
      <c r="H53" s="134"/>
      <c r="I53" s="252"/>
    </row>
    <row r="54" spans="1:9" s="2" customFormat="1" ht="35.25" customHeight="1">
      <c r="A54" s="358" t="s">
        <v>46</v>
      </c>
      <c r="B54" s="9">
        <v>1049</v>
      </c>
      <c r="C54" s="375">
        <v>-40.4</v>
      </c>
      <c r="D54" s="376">
        <f t="shared" si="5"/>
        <v>-39</v>
      </c>
      <c r="E54" s="156">
        <v>-94</v>
      </c>
      <c r="F54" s="156">
        <v>-39</v>
      </c>
      <c r="G54" s="142">
        <f t="shared" si="6"/>
        <v>55</v>
      </c>
      <c r="H54" s="134">
        <f>(F54/E54)*100</f>
        <v>41.48936170212766</v>
      </c>
      <c r="I54" s="364" t="s">
        <v>704</v>
      </c>
    </row>
    <row r="55" spans="1:9" s="2" customFormat="1" ht="42.75" customHeight="1">
      <c r="A55" s="358" t="s">
        <v>71</v>
      </c>
      <c r="B55" s="9">
        <v>1050</v>
      </c>
      <c r="C55" s="375">
        <v>-1718</v>
      </c>
      <c r="D55" s="376">
        <f t="shared" si="5"/>
        <v>-1611</v>
      </c>
      <c r="E55" s="156">
        <v>-1647</v>
      </c>
      <c r="F55" s="156">
        <v>-1611</v>
      </c>
      <c r="G55" s="142">
        <f t="shared" si="6"/>
        <v>36</v>
      </c>
      <c r="H55" s="134">
        <f>(F55/E55)*100</f>
        <v>97.814207650273218</v>
      </c>
      <c r="I55" s="367"/>
    </row>
    <row r="56" spans="1:9" s="2" customFormat="1" ht="20.100000000000001" customHeight="1">
      <c r="A56" s="358" t="s">
        <v>47</v>
      </c>
      <c r="B56" s="6" t="s">
        <v>322</v>
      </c>
      <c r="C56" s="375" t="s">
        <v>229</v>
      </c>
      <c r="D56" s="376"/>
      <c r="E56" s="156">
        <v>0</v>
      </c>
      <c r="F56" s="156"/>
      <c r="G56" s="142">
        <f t="shared" si="6"/>
        <v>0</v>
      </c>
      <c r="H56" s="134"/>
      <c r="I56" s="369"/>
    </row>
    <row r="57" spans="1:9" s="2" customFormat="1" ht="20.100000000000001" customHeight="1">
      <c r="A57" s="358" t="s">
        <v>99</v>
      </c>
      <c r="B57" s="9">
        <v>1051</v>
      </c>
      <c r="C57" s="376">
        <f>SUM(C58:C60)</f>
        <v>-2976.1</v>
      </c>
      <c r="D57" s="376">
        <f>SUM(D58:D60)</f>
        <v>-2431</v>
      </c>
      <c r="E57" s="156">
        <f>SUM(E58:E60)</f>
        <v>-2747</v>
      </c>
      <c r="F57" s="156">
        <f>SUM(F58:F60)</f>
        <v>-2431</v>
      </c>
      <c r="G57" s="142">
        <f t="shared" si="6"/>
        <v>316</v>
      </c>
      <c r="H57" s="134">
        <f>(F57/E57)*100</f>
        <v>88.496541681834728</v>
      </c>
      <c r="I57" s="369"/>
    </row>
    <row r="58" spans="1:9" s="2" customFormat="1" ht="18" customHeight="1">
      <c r="A58" s="146" t="s">
        <v>430</v>
      </c>
      <c r="B58" s="9" t="s">
        <v>432</v>
      </c>
      <c r="C58" s="375">
        <v>-705.1</v>
      </c>
      <c r="D58" s="376">
        <f>F58</f>
        <v>-555</v>
      </c>
      <c r="E58" s="156">
        <v>-606</v>
      </c>
      <c r="F58" s="156">
        <v>-555</v>
      </c>
      <c r="G58" s="142">
        <f t="shared" si="6"/>
        <v>51</v>
      </c>
      <c r="H58" s="134">
        <f>(F58/E58)*100</f>
        <v>91.584158415841586</v>
      </c>
      <c r="I58" s="369"/>
    </row>
    <row r="59" spans="1:9" s="2" customFormat="1">
      <c r="A59" s="146" t="s">
        <v>431</v>
      </c>
      <c r="B59" s="9" t="s">
        <v>433</v>
      </c>
      <c r="C59" s="375"/>
      <c r="D59" s="376">
        <v>0</v>
      </c>
      <c r="E59" s="156">
        <v>0</v>
      </c>
      <c r="F59" s="156">
        <v>0</v>
      </c>
      <c r="G59" s="142">
        <f t="shared" si="6"/>
        <v>0</v>
      </c>
      <c r="H59" s="134"/>
      <c r="I59" s="369"/>
    </row>
    <row r="60" spans="1:9" s="2" customFormat="1">
      <c r="A60" s="146" t="s">
        <v>427</v>
      </c>
      <c r="B60" s="9" t="s">
        <v>676</v>
      </c>
      <c r="C60" s="376">
        <f>SUM(C61:C71)</f>
        <v>-2271</v>
      </c>
      <c r="D60" s="376">
        <f>SUM(D61:D71)</f>
        <v>-1876</v>
      </c>
      <c r="E60" s="156">
        <f>SUM(E61:E71)</f>
        <v>-2141</v>
      </c>
      <c r="F60" s="156">
        <f>SUM(F61:F71)</f>
        <v>-1876</v>
      </c>
      <c r="G60" s="142">
        <f t="shared" si="6"/>
        <v>265</v>
      </c>
      <c r="H60" s="134">
        <f t="shared" ref="H60:H70" si="8">(F60/E60)*100</f>
        <v>87.622606258757585</v>
      </c>
      <c r="I60" s="369"/>
    </row>
    <row r="61" spans="1:9" s="2" customFormat="1" ht="18.75" customHeight="1">
      <c r="A61" s="358" t="s">
        <v>495</v>
      </c>
      <c r="B61" s="9" t="s">
        <v>496</v>
      </c>
      <c r="C61" s="375">
        <v>-95.1</v>
      </c>
      <c r="D61" s="376">
        <f t="shared" ref="D61:D71" si="9">F61</f>
        <v>-92</v>
      </c>
      <c r="E61" s="156">
        <v>-101</v>
      </c>
      <c r="F61" s="156">
        <v>-92</v>
      </c>
      <c r="G61" s="142">
        <f t="shared" si="6"/>
        <v>9</v>
      </c>
      <c r="H61" s="134">
        <f t="shared" si="8"/>
        <v>91.089108910891099</v>
      </c>
      <c r="I61" s="369"/>
    </row>
    <row r="62" spans="1:9" s="2" customFormat="1" ht="42.75" customHeight="1">
      <c r="A62" s="358" t="s">
        <v>620</v>
      </c>
      <c r="B62" s="9" t="s">
        <v>497</v>
      </c>
      <c r="C62" s="375">
        <v>-343.2</v>
      </c>
      <c r="D62" s="376">
        <f t="shared" si="9"/>
        <v>-275</v>
      </c>
      <c r="E62" s="156">
        <v>-419</v>
      </c>
      <c r="F62" s="156">
        <v>-275</v>
      </c>
      <c r="G62" s="142">
        <f t="shared" si="6"/>
        <v>144</v>
      </c>
      <c r="H62" s="134">
        <f t="shared" si="8"/>
        <v>65.632458233890219</v>
      </c>
      <c r="I62" s="370" t="s">
        <v>721</v>
      </c>
    </row>
    <row r="63" spans="1:9" s="2" customFormat="1" ht="39" customHeight="1">
      <c r="A63" s="358" t="s">
        <v>522</v>
      </c>
      <c r="B63" s="9" t="s">
        <v>498</v>
      </c>
      <c r="C63" s="375">
        <v>-794.8</v>
      </c>
      <c r="D63" s="376">
        <f t="shared" si="9"/>
        <v>-879</v>
      </c>
      <c r="E63" s="156">
        <v>-870</v>
      </c>
      <c r="F63" s="156">
        <v>-879</v>
      </c>
      <c r="G63" s="142">
        <f t="shared" si="6"/>
        <v>-9</v>
      </c>
      <c r="H63" s="134">
        <f t="shared" si="8"/>
        <v>101.03448275862068</v>
      </c>
      <c r="I63" s="369"/>
    </row>
    <row r="64" spans="1:9" s="2" customFormat="1" ht="71.25" customHeight="1">
      <c r="A64" s="358" t="s">
        <v>499</v>
      </c>
      <c r="B64" s="9" t="s">
        <v>500</v>
      </c>
      <c r="C64" s="375">
        <v>-160.4</v>
      </c>
      <c r="D64" s="376">
        <f t="shared" si="9"/>
        <v>-213</v>
      </c>
      <c r="E64" s="156">
        <v>-277</v>
      </c>
      <c r="F64" s="156">
        <v>-213</v>
      </c>
      <c r="G64" s="142">
        <f>F64-E64</f>
        <v>64</v>
      </c>
      <c r="H64" s="134">
        <f t="shared" si="8"/>
        <v>76.895306859205775</v>
      </c>
      <c r="I64" s="371" t="s">
        <v>722</v>
      </c>
    </row>
    <row r="65" spans="1:9" s="2" customFormat="1" ht="34.5" customHeight="1">
      <c r="A65" s="158" t="s">
        <v>501</v>
      </c>
      <c r="B65" s="9" t="s">
        <v>502</v>
      </c>
      <c r="C65" s="375">
        <v>-523.9</v>
      </c>
      <c r="D65" s="376">
        <f t="shared" si="9"/>
        <v>0</v>
      </c>
      <c r="E65" s="156">
        <v>0</v>
      </c>
      <c r="F65" s="156"/>
      <c r="G65" s="142">
        <f t="shared" si="6"/>
        <v>0</v>
      </c>
      <c r="H65" s="134" t="e">
        <f t="shared" si="8"/>
        <v>#DIV/0!</v>
      </c>
      <c r="I65" s="369"/>
    </row>
    <row r="66" spans="1:9" s="2" customFormat="1" ht="21" customHeight="1">
      <c r="A66" s="359" t="s">
        <v>503</v>
      </c>
      <c r="B66" s="9" t="s">
        <v>504</v>
      </c>
      <c r="C66" s="375">
        <v>-111.3</v>
      </c>
      <c r="D66" s="376">
        <f t="shared" si="9"/>
        <v>-100</v>
      </c>
      <c r="E66" s="156">
        <v>-98</v>
      </c>
      <c r="F66" s="156">
        <v>-100</v>
      </c>
      <c r="G66" s="142">
        <f t="shared" si="6"/>
        <v>-2</v>
      </c>
      <c r="H66" s="134">
        <f t="shared" si="8"/>
        <v>102.04081632653062</v>
      </c>
      <c r="I66" s="369"/>
    </row>
    <row r="67" spans="1:9" s="2" customFormat="1" ht="34.5" customHeight="1">
      <c r="A67" s="358" t="s">
        <v>505</v>
      </c>
      <c r="B67" s="9" t="s">
        <v>506</v>
      </c>
      <c r="C67" s="375"/>
      <c r="D67" s="376">
        <f t="shared" si="9"/>
        <v>0</v>
      </c>
      <c r="E67" s="156">
        <v>-12</v>
      </c>
      <c r="F67" s="156">
        <v>0</v>
      </c>
      <c r="G67" s="142">
        <f t="shared" si="6"/>
        <v>12</v>
      </c>
      <c r="H67" s="134">
        <f t="shared" si="8"/>
        <v>0</v>
      </c>
      <c r="I67" s="364" t="s">
        <v>701</v>
      </c>
    </row>
    <row r="68" spans="1:9" s="2" customFormat="1" ht="17.25" customHeight="1">
      <c r="A68" s="358" t="s">
        <v>560</v>
      </c>
      <c r="B68" s="9" t="s">
        <v>555</v>
      </c>
      <c r="C68" s="375"/>
      <c r="D68" s="376">
        <f t="shared" si="9"/>
        <v>0</v>
      </c>
      <c r="E68" s="156"/>
      <c r="F68" s="156"/>
      <c r="G68" s="142"/>
      <c r="H68" s="134"/>
      <c r="I68" s="252"/>
    </row>
    <row r="69" spans="1:9" s="2" customFormat="1" ht="39" customHeight="1">
      <c r="A69" s="358" t="s">
        <v>559</v>
      </c>
      <c r="B69" s="9" t="s">
        <v>556</v>
      </c>
      <c r="C69" s="375">
        <v>-90</v>
      </c>
      <c r="D69" s="376">
        <f t="shared" si="9"/>
        <v>0</v>
      </c>
      <c r="E69" s="156"/>
      <c r="F69" s="156"/>
      <c r="G69" s="142"/>
      <c r="H69" s="134"/>
      <c r="I69" s="252"/>
    </row>
    <row r="70" spans="1:9" s="2" customFormat="1">
      <c r="A70" s="358" t="s">
        <v>558</v>
      </c>
      <c r="B70" s="9" t="s">
        <v>557</v>
      </c>
      <c r="C70" s="375">
        <v>-97.5</v>
      </c>
      <c r="D70" s="376">
        <f t="shared" si="9"/>
        <v>-92</v>
      </c>
      <c r="E70" s="156">
        <v>-200</v>
      </c>
      <c r="F70" s="156">
        <v>-92</v>
      </c>
      <c r="G70" s="142">
        <f t="shared" si="6"/>
        <v>108</v>
      </c>
      <c r="H70" s="134">
        <f t="shared" si="8"/>
        <v>46</v>
      </c>
      <c r="I70" s="365" t="s">
        <v>626</v>
      </c>
    </row>
    <row r="71" spans="1:9" s="2" customFormat="1" ht="47.25">
      <c r="A71" s="358" t="s">
        <v>573</v>
      </c>
      <c r="B71" s="9" t="s">
        <v>574</v>
      </c>
      <c r="C71" s="375">
        <v>-54.8</v>
      </c>
      <c r="D71" s="376">
        <f t="shared" si="9"/>
        <v>-225</v>
      </c>
      <c r="E71" s="156">
        <v>-164</v>
      </c>
      <c r="F71" s="156">
        <v>-225</v>
      </c>
      <c r="G71" s="142">
        <f>F71-E71</f>
        <v>-61</v>
      </c>
      <c r="H71" s="134">
        <f>(F71/E71)*100</f>
        <v>137.19512195121953</v>
      </c>
      <c r="I71" s="351" t="s">
        <v>723</v>
      </c>
    </row>
    <row r="72" spans="1:9" ht="20.100000000000001" customHeight="1">
      <c r="A72" s="358" t="s">
        <v>154</v>
      </c>
      <c r="B72" s="9">
        <v>1060</v>
      </c>
      <c r="C72" s="375">
        <f>SUM(C73:C79)</f>
        <v>0</v>
      </c>
      <c r="D72" s="376">
        <v>0</v>
      </c>
      <c r="E72" s="156">
        <v>0</v>
      </c>
      <c r="F72" s="156">
        <v>0</v>
      </c>
      <c r="G72" s="142">
        <f>F72-E72</f>
        <v>0</v>
      </c>
      <c r="H72" s="134"/>
      <c r="I72" s="252"/>
    </row>
    <row r="73" spans="1:9" s="2" customFormat="1" ht="20.100000000000001" customHeight="1">
      <c r="A73" s="358" t="s">
        <v>130</v>
      </c>
      <c r="B73" s="9">
        <v>1061</v>
      </c>
      <c r="C73" s="375" t="s">
        <v>229</v>
      </c>
      <c r="D73" s="376"/>
      <c r="E73" s="156" t="s">
        <v>229</v>
      </c>
      <c r="F73" s="156"/>
      <c r="G73" s="142"/>
      <c r="H73" s="134"/>
      <c r="I73" s="252"/>
    </row>
    <row r="74" spans="1:9" s="2" customFormat="1" ht="20.100000000000001" customHeight="1">
      <c r="A74" s="358" t="s">
        <v>131</v>
      </c>
      <c r="B74" s="9">
        <v>1062</v>
      </c>
      <c r="C74" s="375" t="s">
        <v>229</v>
      </c>
      <c r="D74" s="376"/>
      <c r="E74" s="234" t="s">
        <v>229</v>
      </c>
      <c r="F74" s="156"/>
      <c r="G74" s="142"/>
      <c r="H74" s="134"/>
      <c r="I74" s="252"/>
    </row>
    <row r="75" spans="1:9" s="2" customFormat="1" ht="20.100000000000001" customHeight="1">
      <c r="A75" s="358" t="s">
        <v>36</v>
      </c>
      <c r="B75" s="9">
        <v>1063</v>
      </c>
      <c r="C75" s="375" t="s">
        <v>229</v>
      </c>
      <c r="D75" s="376"/>
      <c r="E75" s="234" t="s">
        <v>229</v>
      </c>
      <c r="F75" s="156"/>
      <c r="G75" s="142"/>
      <c r="H75" s="134"/>
      <c r="I75" s="252"/>
    </row>
    <row r="76" spans="1:9" s="2" customFormat="1" ht="20.100000000000001" customHeight="1">
      <c r="A76" s="358" t="s">
        <v>37</v>
      </c>
      <c r="B76" s="9">
        <v>1064</v>
      </c>
      <c r="C76" s="375" t="s">
        <v>229</v>
      </c>
      <c r="D76" s="376"/>
      <c r="E76" s="234" t="s">
        <v>229</v>
      </c>
      <c r="F76" s="156"/>
      <c r="G76" s="142"/>
      <c r="H76" s="134"/>
      <c r="I76" s="252"/>
    </row>
    <row r="77" spans="1:9" s="2" customFormat="1" ht="20.100000000000001" customHeight="1">
      <c r="A77" s="358" t="s">
        <v>59</v>
      </c>
      <c r="B77" s="9">
        <v>1065</v>
      </c>
      <c r="C77" s="375" t="s">
        <v>229</v>
      </c>
      <c r="D77" s="376"/>
      <c r="E77" s="234" t="s">
        <v>229</v>
      </c>
      <c r="F77" s="156"/>
      <c r="G77" s="142"/>
      <c r="H77" s="134"/>
      <c r="I77" s="252"/>
    </row>
    <row r="78" spans="1:9" s="2" customFormat="1" ht="20.100000000000001" customHeight="1">
      <c r="A78" s="358" t="s">
        <v>73</v>
      </c>
      <c r="B78" s="9">
        <v>1066</v>
      </c>
      <c r="C78" s="375" t="s">
        <v>229</v>
      </c>
      <c r="D78" s="376"/>
      <c r="E78" s="234" t="s">
        <v>229</v>
      </c>
      <c r="F78" s="156"/>
      <c r="G78" s="142"/>
      <c r="H78" s="134"/>
      <c r="I78" s="252"/>
    </row>
    <row r="79" spans="1:9" s="2" customFormat="1" ht="20.100000000000001" customHeight="1">
      <c r="A79" s="358" t="s">
        <v>108</v>
      </c>
      <c r="B79" s="9">
        <v>1067</v>
      </c>
      <c r="C79" s="375" t="s">
        <v>229</v>
      </c>
      <c r="D79" s="376"/>
      <c r="E79" s="234" t="s">
        <v>229</v>
      </c>
      <c r="F79" s="156"/>
      <c r="G79" s="142"/>
      <c r="H79" s="134"/>
      <c r="I79" s="252"/>
    </row>
    <row r="80" spans="1:9" s="2" customFormat="1" ht="20.100000000000001" customHeight="1">
      <c r="A80" s="159" t="s">
        <v>253</v>
      </c>
      <c r="B80" s="160">
        <v>1070</v>
      </c>
      <c r="C80" s="384">
        <f>SUM(C81:C83)</f>
        <v>194801</v>
      </c>
      <c r="D80" s="386">
        <f>SUM(D81:D83)</f>
        <v>167424</v>
      </c>
      <c r="E80" s="386">
        <f>SUM(E81:E83)</f>
        <v>195630</v>
      </c>
      <c r="F80" s="386">
        <f>SUM(F81:F83)</f>
        <v>167424</v>
      </c>
      <c r="G80" s="385">
        <f t="shared" ref="G80:G85" si="10">F80-E80</f>
        <v>-28206</v>
      </c>
      <c r="H80" s="161">
        <f>(F80/E80)*100</f>
        <v>85.581965956141687</v>
      </c>
      <c r="I80" s="252"/>
    </row>
    <row r="81" spans="1:9" s="2" customFormat="1" ht="20.100000000000001" customHeight="1">
      <c r="A81" s="358" t="s">
        <v>150</v>
      </c>
      <c r="B81" s="9">
        <v>1071</v>
      </c>
      <c r="C81" s="375">
        <v>194.6</v>
      </c>
      <c r="D81" s="376">
        <f>F81</f>
        <v>204</v>
      </c>
      <c r="E81" s="156">
        <v>190</v>
      </c>
      <c r="F81" s="156">
        <v>204</v>
      </c>
      <c r="G81" s="142">
        <f t="shared" si="10"/>
        <v>14</v>
      </c>
      <c r="H81" s="134">
        <f>(F81/E81)*100</f>
        <v>107.36842105263158</v>
      </c>
      <c r="I81" s="252"/>
    </row>
    <row r="82" spans="1:9" s="2" customFormat="1" ht="20.100000000000001" customHeight="1">
      <c r="A82" s="358" t="s">
        <v>288</v>
      </c>
      <c r="B82" s="9">
        <v>1072</v>
      </c>
      <c r="C82" s="375"/>
      <c r="D82" s="376">
        <v>0</v>
      </c>
      <c r="E82" s="156">
        <v>0</v>
      </c>
      <c r="F82" s="156">
        <v>0</v>
      </c>
      <c r="G82" s="142">
        <f t="shared" si="10"/>
        <v>0</v>
      </c>
      <c r="H82" s="134"/>
      <c r="I82" s="252"/>
    </row>
    <row r="83" spans="1:9" s="2" customFormat="1" ht="20.100000000000001" customHeight="1">
      <c r="A83" s="358" t="s">
        <v>254</v>
      </c>
      <c r="B83" s="9">
        <v>1073</v>
      </c>
      <c r="C83" s="376">
        <f>SUM(C84+C87)</f>
        <v>194606.4</v>
      </c>
      <c r="D83" s="376">
        <f>D84+D87</f>
        <v>167220</v>
      </c>
      <c r="E83" s="156">
        <f>SUM(E84+E87)</f>
        <v>195440</v>
      </c>
      <c r="F83" s="156">
        <f>F84+F87</f>
        <v>167220</v>
      </c>
      <c r="G83" s="142">
        <f t="shared" si="10"/>
        <v>-28220</v>
      </c>
      <c r="H83" s="134">
        <f>(F83/E83)*100</f>
        <v>85.560785918952106</v>
      </c>
      <c r="I83" s="252"/>
    </row>
    <row r="84" spans="1:9" s="2" customFormat="1" ht="21" customHeight="1">
      <c r="A84" s="146" t="s">
        <v>523</v>
      </c>
      <c r="B84" s="9" t="s">
        <v>434</v>
      </c>
      <c r="C84" s="375">
        <v>189310.6</v>
      </c>
      <c r="D84" s="376">
        <f t="shared" ref="D84:E84" si="11">D85+D86</f>
        <v>158178</v>
      </c>
      <c r="E84" s="156">
        <f t="shared" si="11"/>
        <v>192166</v>
      </c>
      <c r="F84" s="156">
        <f>F85+F86</f>
        <v>158178</v>
      </c>
      <c r="G84" s="142">
        <f t="shared" si="10"/>
        <v>-33988</v>
      </c>
      <c r="H84" s="134">
        <f>(F84/E84)*100</f>
        <v>82.31320837192844</v>
      </c>
      <c r="I84" s="252"/>
    </row>
    <row r="85" spans="1:9" s="2" customFormat="1" ht="45" customHeight="1">
      <c r="A85" s="146" t="s">
        <v>524</v>
      </c>
      <c r="B85" s="9" t="s">
        <v>525</v>
      </c>
      <c r="C85" s="375">
        <v>126165.9</v>
      </c>
      <c r="D85" s="376">
        <f t="shared" ref="D85:D87" si="12">F85</f>
        <v>158125</v>
      </c>
      <c r="E85" s="156">
        <v>192166</v>
      </c>
      <c r="F85" s="156">
        <v>158125</v>
      </c>
      <c r="G85" s="142">
        <f t="shared" si="10"/>
        <v>-34041</v>
      </c>
      <c r="H85" s="134">
        <f>(F85/E85)*100</f>
        <v>82.285628050747789</v>
      </c>
      <c r="I85" s="364" t="s">
        <v>724</v>
      </c>
    </row>
    <row r="86" spans="1:9" s="2" customFormat="1" ht="41.25" customHeight="1">
      <c r="A86" s="146" t="s">
        <v>603</v>
      </c>
      <c r="B86" s="9" t="s">
        <v>526</v>
      </c>
      <c r="C86" s="375"/>
      <c r="D86" s="375">
        <f t="shared" si="12"/>
        <v>53</v>
      </c>
      <c r="E86" s="155"/>
      <c r="F86" s="155">
        <v>53</v>
      </c>
      <c r="G86" s="142"/>
      <c r="H86" s="134"/>
      <c r="I86" s="364" t="s">
        <v>725</v>
      </c>
    </row>
    <row r="87" spans="1:9" s="2" customFormat="1" ht="75" customHeight="1">
      <c r="A87" s="146" t="s">
        <v>427</v>
      </c>
      <c r="B87" s="9" t="s">
        <v>435</v>
      </c>
      <c r="C87" s="375">
        <v>5295.8</v>
      </c>
      <c r="D87" s="376">
        <f t="shared" si="12"/>
        <v>9042</v>
      </c>
      <c r="E87" s="156">
        <v>3274</v>
      </c>
      <c r="F87" s="156">
        <v>9042</v>
      </c>
      <c r="G87" s="142">
        <f t="shared" ref="G87:G103" si="13">F87-E87</f>
        <v>5768</v>
      </c>
      <c r="H87" s="134">
        <f>(F87/E87)*100</f>
        <v>276.17593158216249</v>
      </c>
      <c r="I87" s="364" t="s">
        <v>726</v>
      </c>
    </row>
    <row r="88" spans="1:9" s="2" customFormat="1" ht="20.100000000000001" customHeight="1">
      <c r="A88" s="387" t="s">
        <v>74</v>
      </c>
      <c r="B88" s="160">
        <v>1080</v>
      </c>
      <c r="C88" s="384">
        <f>SUM(C89:C94)</f>
        <v>-13299.999999999998</v>
      </c>
      <c r="D88" s="386">
        <f>SUM(D89:D94)</f>
        <v>-14453</v>
      </c>
      <c r="E88" s="386">
        <f>SUM(E89:E94)</f>
        <v>-17595</v>
      </c>
      <c r="F88" s="386">
        <f>SUM(F89:F94)</f>
        <v>-14453</v>
      </c>
      <c r="G88" s="385">
        <f t="shared" si="13"/>
        <v>3142</v>
      </c>
      <c r="H88" s="161">
        <f>(F88/E88)*100</f>
        <v>82.142654163114528</v>
      </c>
      <c r="I88" s="252"/>
    </row>
    <row r="89" spans="1:9" s="2" customFormat="1" ht="20.100000000000001" customHeight="1">
      <c r="A89" s="358" t="s">
        <v>150</v>
      </c>
      <c r="B89" s="9">
        <v>1081</v>
      </c>
      <c r="C89" s="375">
        <v>-151.69999999999999</v>
      </c>
      <c r="D89" s="376">
        <f>F89</f>
        <v>-252</v>
      </c>
      <c r="E89" s="156">
        <v>-164</v>
      </c>
      <c r="F89" s="156">
        <v>-252</v>
      </c>
      <c r="G89" s="142">
        <f t="shared" si="13"/>
        <v>-88</v>
      </c>
      <c r="H89" s="134">
        <f>(F89/E89)*100</f>
        <v>153.65853658536585</v>
      </c>
      <c r="I89" s="252"/>
    </row>
    <row r="90" spans="1:9" s="2" customFormat="1" ht="20.100000000000001" customHeight="1">
      <c r="A90" s="358" t="s">
        <v>378</v>
      </c>
      <c r="B90" s="9">
        <v>1082</v>
      </c>
      <c r="C90" s="375" t="s">
        <v>229</v>
      </c>
      <c r="D90" s="376"/>
      <c r="E90" s="156">
        <v>0</v>
      </c>
      <c r="F90" s="156"/>
      <c r="G90" s="142">
        <f t="shared" si="13"/>
        <v>0</v>
      </c>
      <c r="H90" s="134"/>
      <c r="I90" s="252"/>
    </row>
    <row r="91" spans="1:9" s="2" customFormat="1" ht="20.100000000000001" customHeight="1">
      <c r="A91" s="358" t="s">
        <v>66</v>
      </c>
      <c r="B91" s="9">
        <v>1083</v>
      </c>
      <c r="C91" s="375" t="s">
        <v>229</v>
      </c>
      <c r="D91" s="376"/>
      <c r="E91" s="156">
        <v>0</v>
      </c>
      <c r="F91" s="156"/>
      <c r="G91" s="142">
        <f t="shared" si="13"/>
        <v>0</v>
      </c>
      <c r="H91" s="134"/>
      <c r="I91" s="252"/>
    </row>
    <row r="92" spans="1:9" s="2" customFormat="1" ht="20.100000000000001" customHeight="1">
      <c r="A92" s="358" t="s">
        <v>48</v>
      </c>
      <c r="B92" s="9">
        <v>1084</v>
      </c>
      <c r="C92" s="375" t="s">
        <v>229</v>
      </c>
      <c r="D92" s="376"/>
      <c r="E92" s="156">
        <v>0</v>
      </c>
      <c r="F92" s="156"/>
      <c r="G92" s="142">
        <f t="shared" si="13"/>
        <v>0</v>
      </c>
      <c r="H92" s="134"/>
      <c r="I92" s="252"/>
    </row>
    <row r="93" spans="1:9" s="2" customFormat="1" ht="20.100000000000001" customHeight="1">
      <c r="A93" s="358" t="s">
        <v>57</v>
      </c>
      <c r="B93" s="9">
        <v>1085</v>
      </c>
      <c r="C93" s="375" t="s">
        <v>229</v>
      </c>
      <c r="D93" s="376"/>
      <c r="E93" s="156">
        <v>0</v>
      </c>
      <c r="F93" s="156"/>
      <c r="G93" s="142">
        <f t="shared" si="13"/>
        <v>0</v>
      </c>
      <c r="H93" s="134"/>
      <c r="I93" s="252"/>
    </row>
    <row r="94" spans="1:9" s="2" customFormat="1" ht="20.100000000000001" customHeight="1">
      <c r="A94" s="358" t="s">
        <v>180</v>
      </c>
      <c r="B94" s="9">
        <v>1086</v>
      </c>
      <c r="C94" s="376">
        <f>SUM(C95:C103)</f>
        <v>-13148.299999999997</v>
      </c>
      <c r="D94" s="376">
        <f>SUM(D95:D103)</f>
        <v>-14201</v>
      </c>
      <c r="E94" s="156">
        <f>SUM(E95:E103)</f>
        <v>-17431</v>
      </c>
      <c r="F94" s="156">
        <f>SUM(F95:F103)</f>
        <v>-14201</v>
      </c>
      <c r="G94" s="156">
        <f>SUM(G95:G103)</f>
        <v>3230</v>
      </c>
      <c r="H94" s="134">
        <f t="shared" ref="H94:H103" si="14">(F94/E94)*100</f>
        <v>81.469795192473185</v>
      </c>
      <c r="I94" s="252"/>
    </row>
    <row r="95" spans="1:9" s="2" customFormat="1" ht="21.75" customHeight="1">
      <c r="A95" s="146" t="s">
        <v>473</v>
      </c>
      <c r="B95" s="9" t="s">
        <v>436</v>
      </c>
      <c r="C95" s="375">
        <v>-5563.9</v>
      </c>
      <c r="D95" s="376">
        <f t="shared" ref="D95:D102" si="15">F95</f>
        <v>-6211</v>
      </c>
      <c r="E95" s="156">
        <v>-6983</v>
      </c>
      <c r="F95" s="156">
        <v>-6211</v>
      </c>
      <c r="G95" s="142">
        <f t="shared" si="13"/>
        <v>772</v>
      </c>
      <c r="H95" s="134">
        <f t="shared" si="14"/>
        <v>88.944579693541456</v>
      </c>
      <c r="I95" s="365" t="s">
        <v>627</v>
      </c>
    </row>
    <row r="96" spans="1:9" s="2" customFormat="1" ht="24.75" customHeight="1">
      <c r="A96" s="146" t="s">
        <v>442</v>
      </c>
      <c r="B96" s="9" t="s">
        <v>437</v>
      </c>
      <c r="C96" s="375">
        <v>-5591.7</v>
      </c>
      <c r="D96" s="376">
        <f t="shared" si="15"/>
        <v>-5315</v>
      </c>
      <c r="E96" s="156">
        <v>-6906</v>
      </c>
      <c r="F96" s="156">
        <v>-5315</v>
      </c>
      <c r="G96" s="142">
        <f t="shared" si="13"/>
        <v>1591</v>
      </c>
      <c r="H96" s="134">
        <f t="shared" si="14"/>
        <v>76.962061975094116</v>
      </c>
      <c r="I96" s="364" t="s">
        <v>727</v>
      </c>
    </row>
    <row r="97" spans="1:11" s="2" customFormat="1" ht="20.100000000000001" customHeight="1">
      <c r="A97" s="146" t="s">
        <v>732</v>
      </c>
      <c r="B97" s="9" t="s">
        <v>438</v>
      </c>
      <c r="C97" s="375">
        <v>-285.39999999999998</v>
      </c>
      <c r="D97" s="376">
        <f t="shared" si="15"/>
        <v>-251</v>
      </c>
      <c r="E97" s="156">
        <v>-310</v>
      </c>
      <c r="F97" s="156">
        <v>-251</v>
      </c>
      <c r="G97" s="142">
        <f t="shared" si="13"/>
        <v>59</v>
      </c>
      <c r="H97" s="134">
        <f t="shared" si="14"/>
        <v>80.967741935483872</v>
      </c>
      <c r="I97" s="252"/>
    </row>
    <row r="98" spans="1:11" s="2" customFormat="1" ht="21.75" customHeight="1">
      <c r="A98" s="146" t="s">
        <v>605</v>
      </c>
      <c r="B98" s="9" t="s">
        <v>439</v>
      </c>
      <c r="C98" s="375">
        <v>-1154.9000000000001</v>
      </c>
      <c r="D98" s="376">
        <f t="shared" si="15"/>
        <v>-1061</v>
      </c>
      <c r="E98" s="156">
        <v>-1587</v>
      </c>
      <c r="F98" s="156">
        <v>-1061</v>
      </c>
      <c r="G98" s="142">
        <f t="shared" si="13"/>
        <v>526</v>
      </c>
      <c r="H98" s="134">
        <f t="shared" si="14"/>
        <v>66.855702583490867</v>
      </c>
      <c r="I98" s="367" t="s">
        <v>628</v>
      </c>
    </row>
    <row r="99" spans="1:11" s="2" customFormat="1" ht="49.5" customHeight="1">
      <c r="A99" s="146" t="s">
        <v>427</v>
      </c>
      <c r="B99" s="9" t="s">
        <v>440</v>
      </c>
      <c r="C99" s="375">
        <v>-295.5</v>
      </c>
      <c r="D99" s="376">
        <f t="shared" si="15"/>
        <v>-138</v>
      </c>
      <c r="E99" s="156">
        <v>-217</v>
      </c>
      <c r="F99" s="156">
        <v>-138</v>
      </c>
      <c r="G99" s="142">
        <f t="shared" si="13"/>
        <v>79</v>
      </c>
      <c r="H99" s="134">
        <f t="shared" si="14"/>
        <v>63.594470046082954</v>
      </c>
      <c r="I99" s="364" t="s">
        <v>728</v>
      </c>
    </row>
    <row r="100" spans="1:11" s="2" customFormat="1" ht="20.100000000000001" customHeight="1">
      <c r="A100" s="146" t="s">
        <v>507</v>
      </c>
      <c r="B100" s="9" t="s">
        <v>441</v>
      </c>
      <c r="C100" s="375">
        <v>-108.3</v>
      </c>
      <c r="D100" s="376">
        <f t="shared" si="15"/>
        <v>-99</v>
      </c>
      <c r="E100" s="234">
        <v>-81</v>
      </c>
      <c r="F100" s="156">
        <v>-99</v>
      </c>
      <c r="G100" s="142">
        <f t="shared" si="13"/>
        <v>-18</v>
      </c>
      <c r="H100" s="134">
        <f t="shared" si="14"/>
        <v>122.22222222222223</v>
      </c>
      <c r="I100" s="365" t="s">
        <v>707</v>
      </c>
    </row>
    <row r="101" spans="1:11" s="2" customFormat="1" ht="72" customHeight="1">
      <c r="A101" s="146" t="s">
        <v>622</v>
      </c>
      <c r="B101" s="9" t="s">
        <v>561</v>
      </c>
      <c r="C101" s="375"/>
      <c r="D101" s="376">
        <f t="shared" si="15"/>
        <v>-80</v>
      </c>
      <c r="E101" s="234">
        <v>-485</v>
      </c>
      <c r="F101" s="156">
        <v>-80</v>
      </c>
      <c r="G101" s="142">
        <f t="shared" ref="G101" si="16">F101-E101</f>
        <v>405</v>
      </c>
      <c r="H101" s="134">
        <f t="shared" ref="H101" si="17">(F101/E101)*100</f>
        <v>16.494845360824741</v>
      </c>
      <c r="I101" s="364" t="s">
        <v>729</v>
      </c>
    </row>
    <row r="102" spans="1:11" s="2" customFormat="1" ht="19.5" customHeight="1">
      <c r="A102" s="146" t="s">
        <v>562</v>
      </c>
      <c r="B102" s="9" t="s">
        <v>621</v>
      </c>
      <c r="C102" s="375">
        <v>-148.6</v>
      </c>
      <c r="D102" s="376">
        <f t="shared" si="15"/>
        <v>-967</v>
      </c>
      <c r="E102" s="156">
        <v>-762</v>
      </c>
      <c r="F102" s="156">
        <v>-967</v>
      </c>
      <c r="G102" s="142">
        <f t="shared" si="13"/>
        <v>-205</v>
      </c>
      <c r="H102" s="134">
        <f t="shared" si="14"/>
        <v>126.90288713910761</v>
      </c>
      <c r="I102" s="252"/>
    </row>
    <row r="103" spans="1:11" s="297" customFormat="1" ht="19.5" customHeight="1">
      <c r="A103" s="146" t="s">
        <v>650</v>
      </c>
      <c r="B103" s="9" t="s">
        <v>651</v>
      </c>
      <c r="C103" s="375"/>
      <c r="D103" s="376">
        <f>F103</f>
        <v>-79</v>
      </c>
      <c r="E103" s="156">
        <v>-100</v>
      </c>
      <c r="F103" s="156">
        <v>-79</v>
      </c>
      <c r="G103" s="142">
        <f t="shared" si="13"/>
        <v>21</v>
      </c>
      <c r="H103" s="134">
        <f t="shared" si="14"/>
        <v>79</v>
      </c>
      <c r="I103" s="252"/>
    </row>
    <row r="104" spans="1:11" s="5" customFormat="1" ht="20.100000000000001" customHeight="1">
      <c r="A104" s="356" t="s">
        <v>4</v>
      </c>
      <c r="B104" s="162">
        <v>1100</v>
      </c>
      <c r="C104" s="377">
        <f>SUM(C34,C35,C72,C80,C88)</f>
        <v>7505.0000000000018</v>
      </c>
      <c r="D104" s="377">
        <f>SUM(D34,D35,D72,D80,D88)</f>
        <v>-6112</v>
      </c>
      <c r="E104" s="180">
        <f>SUM(E34,E35,E72,E80,E88)</f>
        <v>-12316</v>
      </c>
      <c r="F104" s="180">
        <f>SUM(F34,F35,F72,F80,F88)</f>
        <v>-6112</v>
      </c>
      <c r="G104" s="225">
        <f>ROUND(SUM(G34,G35,G72,G80,G88),0)</f>
        <v>6204</v>
      </c>
      <c r="H104" s="135">
        <f>(F104/E104)*100</f>
        <v>49.626502111075027</v>
      </c>
      <c r="I104" s="252"/>
    </row>
    <row r="105" spans="1:11" ht="20.100000000000001" customHeight="1">
      <c r="A105" s="358" t="s">
        <v>97</v>
      </c>
      <c r="B105" s="9">
        <v>1110</v>
      </c>
      <c r="C105" s="375"/>
      <c r="D105" s="376">
        <v>0</v>
      </c>
      <c r="E105" s="156"/>
      <c r="F105" s="156">
        <v>0</v>
      </c>
      <c r="G105" s="142">
        <f>F105-E105</f>
        <v>0</v>
      </c>
      <c r="H105" s="134"/>
      <c r="I105" s="252"/>
    </row>
    <row r="106" spans="1:11" ht="20.100000000000001" customHeight="1">
      <c r="A106" s="358" t="s">
        <v>101</v>
      </c>
      <c r="B106" s="9">
        <v>1120</v>
      </c>
      <c r="C106" s="375" t="s">
        <v>229</v>
      </c>
      <c r="D106" s="376"/>
      <c r="E106" s="156" t="s">
        <v>229</v>
      </c>
      <c r="F106" s="156"/>
      <c r="G106" s="142"/>
      <c r="H106" s="134"/>
      <c r="I106" s="252"/>
    </row>
    <row r="107" spans="1:11" ht="20.100000000000001" customHeight="1">
      <c r="A107" s="358" t="s">
        <v>98</v>
      </c>
      <c r="B107" s="9">
        <v>1130</v>
      </c>
      <c r="C107" s="375"/>
      <c r="D107" s="376">
        <v>0</v>
      </c>
      <c r="E107" s="156"/>
      <c r="F107" s="156">
        <v>0</v>
      </c>
      <c r="G107" s="142">
        <f>F107-E107</f>
        <v>0</v>
      </c>
      <c r="H107" s="134"/>
      <c r="I107" s="252"/>
    </row>
    <row r="108" spans="1:11" ht="20.100000000000001" customHeight="1">
      <c r="A108" s="358" t="s">
        <v>100</v>
      </c>
      <c r="B108" s="9">
        <v>1140</v>
      </c>
      <c r="C108" s="375" t="s">
        <v>229</v>
      </c>
      <c r="D108" s="376"/>
      <c r="E108" s="156" t="s">
        <v>229</v>
      </c>
      <c r="F108" s="156"/>
      <c r="G108" s="142"/>
      <c r="H108" s="134"/>
      <c r="I108" s="252"/>
    </row>
    <row r="109" spans="1:11" ht="20.100000000000001" customHeight="1">
      <c r="A109" s="358" t="s">
        <v>255</v>
      </c>
      <c r="B109" s="9">
        <v>1150</v>
      </c>
      <c r="C109" s="376">
        <f>C111</f>
        <v>9361</v>
      </c>
      <c r="D109" s="376">
        <f t="shared" ref="D109:F109" si="18">D111</f>
        <v>15129</v>
      </c>
      <c r="E109" s="156">
        <f t="shared" si="18"/>
        <v>15610</v>
      </c>
      <c r="F109" s="156">
        <f t="shared" si="18"/>
        <v>15129</v>
      </c>
      <c r="G109" s="142">
        <f>F109-E109</f>
        <v>-481</v>
      </c>
      <c r="H109" s="134">
        <f>(F109/E109)*100</f>
        <v>96.918641896220365</v>
      </c>
      <c r="I109" s="252"/>
    </row>
    <row r="110" spans="1:11" ht="20.100000000000001" customHeight="1">
      <c r="A110" s="358" t="s">
        <v>150</v>
      </c>
      <c r="B110" s="9">
        <v>1151</v>
      </c>
      <c r="C110" s="376"/>
      <c r="D110" s="376">
        <v>0</v>
      </c>
      <c r="E110" s="156"/>
      <c r="F110" s="156">
        <v>0</v>
      </c>
      <c r="G110" s="142">
        <f>F110-E110</f>
        <v>0</v>
      </c>
      <c r="H110" s="134"/>
      <c r="I110" s="252"/>
    </row>
    <row r="111" spans="1:11" ht="42.75" customHeight="1">
      <c r="A111" s="358" t="s">
        <v>516</v>
      </c>
      <c r="B111" s="301">
        <v>1152</v>
      </c>
      <c r="C111" s="376">
        <f>SUM(C112:C114)</f>
        <v>9361</v>
      </c>
      <c r="D111" s="376">
        <f>SUM(D112:D114)</f>
        <v>15129</v>
      </c>
      <c r="E111" s="156">
        <f>SUM(E112:E114)</f>
        <v>15610</v>
      </c>
      <c r="F111" s="156">
        <f>SUM(F112:F114)</f>
        <v>15129</v>
      </c>
      <c r="G111" s="142">
        <f>F111-E111</f>
        <v>-481</v>
      </c>
      <c r="H111" s="134">
        <f>(F111/E111)*100</f>
        <v>96.918641896220365</v>
      </c>
      <c r="I111" s="299"/>
      <c r="K111" s="300"/>
    </row>
    <row r="112" spans="1:11" s="284" customFormat="1" ht="42.75" customHeight="1">
      <c r="A112" s="358" t="s">
        <v>634</v>
      </c>
      <c r="B112" s="301" t="s">
        <v>637</v>
      </c>
      <c r="C112" s="376">
        <v>7401.6</v>
      </c>
      <c r="D112" s="376">
        <f t="shared" ref="D112:D114" si="19">F112</f>
        <v>7952</v>
      </c>
      <c r="E112" s="156">
        <v>8300</v>
      </c>
      <c r="F112" s="156">
        <v>7952</v>
      </c>
      <c r="G112" s="142">
        <f t="shared" ref="G112:G114" si="20">F112-E112</f>
        <v>-348</v>
      </c>
      <c r="H112" s="134">
        <f t="shared" ref="H112:H114" si="21">(F112/E112)*100</f>
        <v>95.807228915662648</v>
      </c>
      <c r="I112" s="364" t="s">
        <v>730</v>
      </c>
      <c r="K112" s="298"/>
    </row>
    <row r="113" spans="1:11" s="284" customFormat="1" ht="42.75" customHeight="1">
      <c r="A113" s="358" t="s">
        <v>635</v>
      </c>
      <c r="B113" s="301" t="s">
        <v>638</v>
      </c>
      <c r="C113" s="376">
        <v>1811.5</v>
      </c>
      <c r="D113" s="376">
        <f t="shared" si="19"/>
        <v>7175</v>
      </c>
      <c r="E113" s="156">
        <v>7310</v>
      </c>
      <c r="F113" s="156">
        <v>7175</v>
      </c>
      <c r="G113" s="142">
        <f t="shared" si="20"/>
        <v>-135</v>
      </c>
      <c r="H113" s="134">
        <f t="shared" si="21"/>
        <v>98.153214774281807</v>
      </c>
      <c r="I113" s="364" t="s">
        <v>731</v>
      </c>
      <c r="K113" s="298"/>
    </row>
    <row r="114" spans="1:11" s="284" customFormat="1" ht="42.75" customHeight="1">
      <c r="A114" s="358" t="s">
        <v>636</v>
      </c>
      <c r="B114" s="301" t="s">
        <v>639</v>
      </c>
      <c r="C114" s="376">
        <v>147.9</v>
      </c>
      <c r="D114" s="376">
        <f t="shared" si="19"/>
        <v>2</v>
      </c>
      <c r="E114" s="156"/>
      <c r="F114" s="156">
        <v>2</v>
      </c>
      <c r="G114" s="142">
        <f t="shared" si="20"/>
        <v>2</v>
      </c>
      <c r="H114" s="134" t="e">
        <f t="shared" si="21"/>
        <v>#DIV/0!</v>
      </c>
      <c r="I114" s="299"/>
      <c r="K114" s="298"/>
    </row>
    <row r="115" spans="1:11" ht="20.100000000000001" customHeight="1">
      <c r="A115" s="358" t="s">
        <v>256</v>
      </c>
      <c r="B115" s="9">
        <v>1160</v>
      </c>
      <c r="C115" s="375">
        <f>SUM(C116:C117)</f>
        <v>0</v>
      </c>
      <c r="D115" s="376">
        <v>0</v>
      </c>
      <c r="E115" s="234">
        <v>0</v>
      </c>
      <c r="F115" s="156">
        <v>0</v>
      </c>
      <c r="G115" s="142">
        <f>F115-E115</f>
        <v>0</v>
      </c>
      <c r="H115" s="134"/>
      <c r="I115" s="252"/>
    </row>
    <row r="116" spans="1:11" ht="20.100000000000001" customHeight="1">
      <c r="A116" s="358" t="s">
        <v>150</v>
      </c>
      <c r="B116" s="9">
        <v>1161</v>
      </c>
      <c r="C116" s="375" t="s">
        <v>229</v>
      </c>
      <c r="D116" s="376"/>
      <c r="E116" s="234" t="s">
        <v>229</v>
      </c>
      <c r="F116" s="156"/>
      <c r="G116" s="142"/>
      <c r="H116" s="134"/>
      <c r="I116" s="252"/>
    </row>
    <row r="117" spans="1:11" ht="20.100000000000001" customHeight="1">
      <c r="A117" s="358" t="s">
        <v>107</v>
      </c>
      <c r="B117" s="9">
        <v>1162</v>
      </c>
      <c r="C117" s="375" t="s">
        <v>229</v>
      </c>
      <c r="D117" s="376"/>
      <c r="E117" s="234" t="s">
        <v>229</v>
      </c>
      <c r="F117" s="156"/>
      <c r="G117" s="142"/>
      <c r="H117" s="134"/>
      <c r="I117" s="252"/>
    </row>
    <row r="118" spans="1:11" s="5" customFormat="1" ht="20.100000000000001" customHeight="1">
      <c r="A118" s="388" t="s">
        <v>87</v>
      </c>
      <c r="B118" s="162">
        <v>1170</v>
      </c>
      <c r="C118" s="194">
        <f>SUM(C104,C105,C106,C107,C108,C109,C115)</f>
        <v>16866</v>
      </c>
      <c r="D118" s="194">
        <f>SUM(D104,D105,D106,D107,D108,D109,D115)</f>
        <v>9017</v>
      </c>
      <c r="E118" s="194">
        <f>SUM(E104,E105,E106,E107,E108,E109,E115)</f>
        <v>3294</v>
      </c>
      <c r="F118" s="194">
        <f>SUM(F104,F105,F106,F107,F108,F109,F115)</f>
        <v>9017</v>
      </c>
      <c r="G118" s="224">
        <f>SUM(G104,G105,G106,G107,G108,G109,G115)</f>
        <v>5723</v>
      </c>
      <c r="H118" s="163">
        <f>(F118/E118)*100</f>
        <v>273.74013357619913</v>
      </c>
      <c r="I118" s="369"/>
    </row>
    <row r="119" spans="1:11" ht="20.100000000000001" customHeight="1">
      <c r="A119" s="358" t="s">
        <v>248</v>
      </c>
      <c r="B119" s="7">
        <v>1180</v>
      </c>
      <c r="C119" s="375">
        <v>-3326</v>
      </c>
      <c r="D119" s="375">
        <f>F119</f>
        <v>-2535</v>
      </c>
      <c r="E119" s="155">
        <v>-594</v>
      </c>
      <c r="F119" s="155">
        <v>-2535</v>
      </c>
      <c r="G119" s="142">
        <f>ROUND(-(G118*0.18),0)</f>
        <v>-1030</v>
      </c>
      <c r="H119" s="134">
        <f>(F119/E119)*100</f>
        <v>426.76767676767673</v>
      </c>
      <c r="I119" s="252"/>
    </row>
    <row r="120" spans="1:11" ht="20.100000000000001" customHeight="1">
      <c r="A120" s="358" t="s">
        <v>249</v>
      </c>
      <c r="B120" s="7">
        <v>1181</v>
      </c>
      <c r="C120" s="375"/>
      <c r="D120" s="376">
        <v>0</v>
      </c>
      <c r="E120" s="156"/>
      <c r="F120" s="156">
        <v>0</v>
      </c>
      <c r="G120" s="142"/>
      <c r="H120" s="134"/>
      <c r="I120" s="252"/>
    </row>
    <row r="121" spans="1:11" ht="20.100000000000001" customHeight="1">
      <c r="A121" s="358" t="s">
        <v>250</v>
      </c>
      <c r="B121" s="9">
        <v>1190</v>
      </c>
      <c r="C121" s="375"/>
      <c r="D121" s="376">
        <v>0</v>
      </c>
      <c r="E121" s="156"/>
      <c r="F121" s="156">
        <v>0</v>
      </c>
      <c r="G121" s="142"/>
      <c r="H121" s="134"/>
      <c r="I121" s="252"/>
    </row>
    <row r="122" spans="1:11" ht="20.100000000000001" customHeight="1">
      <c r="A122" s="358" t="s">
        <v>251</v>
      </c>
      <c r="B122" s="6">
        <v>1191</v>
      </c>
      <c r="C122" s="375" t="s">
        <v>229</v>
      </c>
      <c r="D122" s="376"/>
      <c r="E122" s="156"/>
      <c r="F122" s="156"/>
      <c r="G122" s="142">
        <f>F122-E122</f>
        <v>0</v>
      </c>
      <c r="H122" s="134"/>
      <c r="I122" s="252"/>
    </row>
    <row r="123" spans="1:11" s="5" customFormat="1" ht="20.100000000000001" customHeight="1">
      <c r="A123" s="388" t="s">
        <v>278</v>
      </c>
      <c r="B123" s="162">
        <v>1200</v>
      </c>
      <c r="C123" s="194">
        <f>C124</f>
        <v>13540</v>
      </c>
      <c r="D123" s="194">
        <f>SUM(D118,D119,D120,D121,D122)</f>
        <v>6482</v>
      </c>
      <c r="E123" s="194">
        <f>SUM(E118,E119,E120,E121,E122)</f>
        <v>2700</v>
      </c>
      <c r="F123" s="194">
        <f>SUM(F118,F119,F120,F121,F122)</f>
        <v>6482</v>
      </c>
      <c r="G123" s="224">
        <f>F123-E123</f>
        <v>3782</v>
      </c>
      <c r="H123" s="163">
        <f>(F123/E123)*100</f>
        <v>240.07407407407408</v>
      </c>
      <c r="I123" s="252"/>
    </row>
    <row r="124" spans="1:11" ht="20.100000000000001" customHeight="1">
      <c r="A124" s="358" t="s">
        <v>25</v>
      </c>
      <c r="B124" s="6">
        <v>1201</v>
      </c>
      <c r="C124" s="375">
        <f>C118+C119</f>
        <v>13540</v>
      </c>
      <c r="D124" s="375">
        <f>D118+D119</f>
        <v>6482</v>
      </c>
      <c r="E124" s="155">
        <f>E118+E119</f>
        <v>2700</v>
      </c>
      <c r="F124" s="155">
        <f>F118+F119</f>
        <v>6482</v>
      </c>
      <c r="G124" s="142">
        <f>F124-E124</f>
        <v>3782</v>
      </c>
      <c r="H124" s="134">
        <f>(F124/E124)*100</f>
        <v>240.07407407407408</v>
      </c>
      <c r="I124" s="252"/>
    </row>
    <row r="125" spans="1:11" ht="20.100000000000001" customHeight="1">
      <c r="A125" s="358" t="s">
        <v>26</v>
      </c>
      <c r="B125" s="6">
        <v>1202</v>
      </c>
      <c r="C125" s="375" t="s">
        <v>229</v>
      </c>
      <c r="D125" s="378" t="s">
        <v>508</v>
      </c>
      <c r="E125" s="156" t="s">
        <v>508</v>
      </c>
      <c r="F125" s="156" t="s">
        <v>508</v>
      </c>
      <c r="G125" s="142"/>
      <c r="H125" s="134"/>
      <c r="I125" s="252"/>
    </row>
    <row r="126" spans="1:11" ht="20.100000000000001" customHeight="1">
      <c r="A126" s="388" t="s">
        <v>19</v>
      </c>
      <c r="B126" s="160">
        <v>1210</v>
      </c>
      <c r="C126" s="194">
        <f>SUM(C7,C80,C105,C107,C109,C120,C121)</f>
        <v>204924</v>
      </c>
      <c r="D126" s="194">
        <f>SUM(D7,D80,D105,D107,D109,D120,D121)</f>
        <v>183193</v>
      </c>
      <c r="E126" s="194">
        <f>SUM(E7,E80,E105,E107,E109,E120,E121)</f>
        <v>211722</v>
      </c>
      <c r="F126" s="194">
        <f>SUM(F7,F80,F105,F107,F109,F120,F121)</f>
        <v>183193</v>
      </c>
      <c r="G126" s="224">
        <f>F126-E126</f>
        <v>-28529</v>
      </c>
      <c r="H126" s="163">
        <f>(F126/E126)*100</f>
        <v>86.525254815276625</v>
      </c>
      <c r="I126" s="252"/>
    </row>
    <row r="127" spans="1:11" ht="20.100000000000001" customHeight="1">
      <c r="A127" s="388" t="s">
        <v>104</v>
      </c>
      <c r="B127" s="160">
        <v>1220</v>
      </c>
      <c r="C127" s="194">
        <f>SUM(C8,C35,C72,C88,C106,C108,C115,C119,C122)</f>
        <v>-191384</v>
      </c>
      <c r="D127" s="194">
        <f>SUM(D8,D35,D72,D88,D106,D108,D115,D119,D122)</f>
        <v>-176711</v>
      </c>
      <c r="E127" s="194">
        <f>SUM(E8,E35,E72,E88,E106,E108,E115,E119,E122)</f>
        <v>-209022</v>
      </c>
      <c r="F127" s="194">
        <f>SUM(F8,F35,F72,F88,F106,F108,F115,F119,F122)</f>
        <v>-176711</v>
      </c>
      <c r="G127" s="224">
        <f>F127-E127</f>
        <v>32311</v>
      </c>
      <c r="H127" s="163">
        <f>(F127/E127)*100</f>
        <v>84.541818564553012</v>
      </c>
      <c r="I127" s="252"/>
    </row>
    <row r="128" spans="1:11" ht="20.100000000000001" customHeight="1">
      <c r="A128" s="358" t="s">
        <v>181</v>
      </c>
      <c r="B128" s="9">
        <v>1230</v>
      </c>
      <c r="C128" s="380"/>
      <c r="D128" s="380"/>
      <c r="E128" s="104"/>
      <c r="F128" s="104"/>
      <c r="G128" s="142">
        <f>F128-E128</f>
        <v>0</v>
      </c>
      <c r="H128" s="134"/>
      <c r="I128" s="252"/>
    </row>
    <row r="129" spans="1:9" ht="24.95" customHeight="1">
      <c r="A129" s="426" t="s">
        <v>123</v>
      </c>
      <c r="B129" s="426"/>
      <c r="C129" s="426"/>
      <c r="D129" s="426"/>
      <c r="E129" s="426"/>
      <c r="F129" s="426"/>
      <c r="G129" s="426"/>
      <c r="H129" s="426"/>
      <c r="I129" s="252"/>
    </row>
    <row r="130" spans="1:9" ht="20.100000000000001" customHeight="1">
      <c r="A130" s="358" t="s">
        <v>191</v>
      </c>
      <c r="B130" s="9">
        <v>1300</v>
      </c>
      <c r="C130" s="375">
        <f>C104</f>
        <v>7505.0000000000018</v>
      </c>
      <c r="D130" s="375">
        <f>D104</f>
        <v>-6112</v>
      </c>
      <c r="E130" s="155">
        <f>E104</f>
        <v>-12316</v>
      </c>
      <c r="F130" s="155">
        <f>F104</f>
        <v>-6112</v>
      </c>
      <c r="G130" s="142">
        <f>F130-E130</f>
        <v>6204</v>
      </c>
      <c r="H130" s="134">
        <f>(F130/E130)*100</f>
        <v>49.626502111075027</v>
      </c>
      <c r="I130" s="252"/>
    </row>
    <row r="131" spans="1:9" ht="20.100000000000001" customHeight="1">
      <c r="A131" s="358" t="s">
        <v>335</v>
      </c>
      <c r="B131" s="9">
        <v>1301</v>
      </c>
      <c r="C131" s="375">
        <f>C143</f>
        <v>9828</v>
      </c>
      <c r="D131" s="375">
        <f>D143</f>
        <v>15127</v>
      </c>
      <c r="E131" s="155">
        <f>E143</f>
        <v>15610</v>
      </c>
      <c r="F131" s="155">
        <f>F143</f>
        <v>15127</v>
      </c>
      <c r="G131" s="142">
        <f>F131-E131</f>
        <v>-483</v>
      </c>
      <c r="H131" s="134">
        <f>(F131/E131)*100</f>
        <v>96.905829596412545</v>
      </c>
      <c r="I131" s="252"/>
    </row>
    <row r="132" spans="1:9" ht="20.100000000000001" customHeight="1">
      <c r="A132" s="358" t="s">
        <v>336</v>
      </c>
      <c r="B132" s="9">
        <v>1302</v>
      </c>
      <c r="C132" s="375">
        <f>C81</f>
        <v>194.6</v>
      </c>
      <c r="D132" s="375">
        <f>D81</f>
        <v>204</v>
      </c>
      <c r="E132" s="155">
        <f>ROUND(E81,0)</f>
        <v>190</v>
      </c>
      <c r="F132" s="155">
        <f>ROUND(F81,0)</f>
        <v>204</v>
      </c>
      <c r="G132" s="142">
        <f>F132-E132</f>
        <v>14</v>
      </c>
      <c r="H132" s="134">
        <f>(F132/E132)*100</f>
        <v>107.36842105263158</v>
      </c>
      <c r="I132" s="252"/>
    </row>
    <row r="133" spans="1:9" ht="20.100000000000001" customHeight="1">
      <c r="A133" s="358" t="s">
        <v>337</v>
      </c>
      <c r="B133" s="9">
        <v>1303</v>
      </c>
      <c r="C133" s="375">
        <f>C89</f>
        <v>-151.69999999999999</v>
      </c>
      <c r="D133" s="375">
        <f>D89</f>
        <v>-252</v>
      </c>
      <c r="E133" s="155">
        <f>E89</f>
        <v>-164</v>
      </c>
      <c r="F133" s="155">
        <f>F89</f>
        <v>-252</v>
      </c>
      <c r="G133" s="142">
        <f>F133-E133</f>
        <v>-88</v>
      </c>
      <c r="H133" s="134">
        <f>(F133/E133)*100</f>
        <v>153.65853658536585</v>
      </c>
      <c r="I133" s="252"/>
    </row>
    <row r="134" spans="1:9" ht="20.100000000000001" customHeight="1">
      <c r="A134" s="358" t="s">
        <v>338</v>
      </c>
      <c r="B134" s="9">
        <v>1304</v>
      </c>
      <c r="C134" s="375">
        <f>C82</f>
        <v>0</v>
      </c>
      <c r="D134" s="375">
        <f>D82</f>
        <v>0</v>
      </c>
      <c r="E134" s="155">
        <f>E82</f>
        <v>0</v>
      </c>
      <c r="F134" s="155">
        <f>F82</f>
        <v>0</v>
      </c>
      <c r="G134" s="142"/>
      <c r="H134" s="134"/>
      <c r="I134" s="252"/>
    </row>
    <row r="135" spans="1:9" ht="20.100000000000001" customHeight="1">
      <c r="A135" s="358" t="s">
        <v>339</v>
      </c>
      <c r="B135" s="9">
        <v>1305</v>
      </c>
      <c r="C135" s="375" t="str">
        <f>C90</f>
        <v>(    )</v>
      </c>
      <c r="D135" s="375">
        <f>D90</f>
        <v>0</v>
      </c>
      <c r="E135" s="155">
        <f>E90</f>
        <v>0</v>
      </c>
      <c r="F135" s="155">
        <f>F90</f>
        <v>0</v>
      </c>
      <c r="G135" s="142">
        <f>F135-E135</f>
        <v>0</v>
      </c>
      <c r="H135" s="134"/>
      <c r="I135" s="252"/>
    </row>
    <row r="136" spans="1:9" s="5" customFormat="1" ht="20.100000000000001" customHeight="1">
      <c r="A136" s="356" t="s">
        <v>117</v>
      </c>
      <c r="B136" s="11">
        <v>1310</v>
      </c>
      <c r="C136" s="377">
        <f>C130+C131-C132-C133</f>
        <v>17290.100000000002</v>
      </c>
      <c r="D136" s="377">
        <f>D130+D131-D132-D133</f>
        <v>9063</v>
      </c>
      <c r="E136" s="180">
        <f>E130+E131-E132-E133</f>
        <v>3268</v>
      </c>
      <c r="F136" s="180">
        <f>F130+F131-F132-F133</f>
        <v>9063</v>
      </c>
      <c r="G136" s="225">
        <f>F136-E136</f>
        <v>5795</v>
      </c>
      <c r="H136" s="135">
        <f>(F136/E136)*100</f>
        <v>277.32558139534882</v>
      </c>
      <c r="I136" s="252"/>
    </row>
    <row r="137" spans="1:9" s="5" customFormat="1" ht="20.100000000000001" customHeight="1">
      <c r="A137" s="419" t="s">
        <v>157</v>
      </c>
      <c r="B137" s="420"/>
      <c r="C137" s="420"/>
      <c r="D137" s="420"/>
      <c r="E137" s="420"/>
      <c r="F137" s="420"/>
      <c r="G137" s="420"/>
      <c r="H137" s="420"/>
      <c r="I137" s="252"/>
    </row>
    <row r="138" spans="1:9" s="5" customFormat="1" ht="20.100000000000001" customHeight="1">
      <c r="A138" s="358" t="s">
        <v>192</v>
      </c>
      <c r="B138" s="9">
        <v>1400</v>
      </c>
      <c r="C138" s="375">
        <f>SUM(C139:C140)</f>
        <v>8316</v>
      </c>
      <c r="D138" s="375">
        <f>SUM(D139:D140)</f>
        <v>11812</v>
      </c>
      <c r="E138" s="155">
        <f>SUM(E139:E140)</f>
        <v>23161</v>
      </c>
      <c r="F138" s="155">
        <f>SUM(F139:F140)</f>
        <v>11812</v>
      </c>
      <c r="G138" s="142">
        <f t="shared" ref="G138:G145" si="22">F138-E138</f>
        <v>-11349</v>
      </c>
      <c r="H138" s="134">
        <f t="shared" ref="H138:H145" si="23">(F138/E138)*100</f>
        <v>50.999525063684651</v>
      </c>
      <c r="I138" s="252"/>
    </row>
    <row r="139" spans="1:9" s="5" customFormat="1" ht="20.100000000000001" customHeight="1">
      <c r="A139" s="358" t="s">
        <v>193</v>
      </c>
      <c r="B139" s="39">
        <v>1401</v>
      </c>
      <c r="C139" s="375">
        <v>3785</v>
      </c>
      <c r="D139" s="375">
        <f t="shared" ref="D139:D144" si="24">F139</f>
        <v>3674</v>
      </c>
      <c r="E139" s="350">
        <v>8761</v>
      </c>
      <c r="F139" s="155">
        <v>3674</v>
      </c>
      <c r="G139" s="142">
        <f t="shared" si="22"/>
        <v>-5087</v>
      </c>
      <c r="H139" s="134">
        <f t="shared" si="23"/>
        <v>41.935852071681317</v>
      </c>
      <c r="I139" s="252"/>
    </row>
    <row r="140" spans="1:9" s="5" customFormat="1" ht="20.100000000000001" customHeight="1">
      <c r="A140" s="358" t="s">
        <v>28</v>
      </c>
      <c r="B140" s="39">
        <v>1402</v>
      </c>
      <c r="C140" s="375">
        <v>4531</v>
      </c>
      <c r="D140" s="375">
        <f t="shared" si="24"/>
        <v>8138</v>
      </c>
      <c r="E140" s="350">
        <v>14400</v>
      </c>
      <c r="F140" s="155">
        <v>8138</v>
      </c>
      <c r="G140" s="142">
        <f t="shared" si="22"/>
        <v>-6262</v>
      </c>
      <c r="H140" s="134">
        <f t="shared" si="23"/>
        <v>56.513888888888886</v>
      </c>
      <c r="I140" s="252"/>
    </row>
    <row r="141" spans="1:9" s="5" customFormat="1" ht="20.100000000000001" customHeight="1">
      <c r="A141" s="358" t="s">
        <v>5</v>
      </c>
      <c r="B141" s="14">
        <v>1410</v>
      </c>
      <c r="C141" s="375">
        <v>81647</v>
      </c>
      <c r="D141" s="375">
        <f t="shared" si="24"/>
        <v>89514</v>
      </c>
      <c r="E141" s="350">
        <v>99260</v>
      </c>
      <c r="F141" s="155">
        <v>89514</v>
      </c>
      <c r="G141" s="142">
        <f t="shared" si="22"/>
        <v>-9746</v>
      </c>
      <c r="H141" s="134">
        <f t="shared" si="23"/>
        <v>90.181341930284091</v>
      </c>
      <c r="I141" s="252"/>
    </row>
    <row r="142" spans="1:9" s="5" customFormat="1" ht="20.100000000000001" customHeight="1">
      <c r="A142" s="358" t="s">
        <v>6</v>
      </c>
      <c r="B142" s="14">
        <v>1420</v>
      </c>
      <c r="C142" s="375">
        <v>17110</v>
      </c>
      <c r="D142" s="375">
        <f t="shared" si="24"/>
        <v>19357</v>
      </c>
      <c r="E142" s="350">
        <v>21947</v>
      </c>
      <c r="F142" s="155">
        <v>19357</v>
      </c>
      <c r="G142" s="142">
        <f t="shared" si="22"/>
        <v>-2590</v>
      </c>
      <c r="H142" s="134">
        <f t="shared" si="23"/>
        <v>88.198842666423658</v>
      </c>
      <c r="I142" s="252"/>
    </row>
    <row r="143" spans="1:9" s="5" customFormat="1" ht="20.100000000000001" customHeight="1">
      <c r="A143" s="358" t="s">
        <v>7</v>
      </c>
      <c r="B143" s="14">
        <v>1430</v>
      </c>
      <c r="C143" s="375">
        <v>9828</v>
      </c>
      <c r="D143" s="375">
        <f t="shared" si="24"/>
        <v>15127</v>
      </c>
      <c r="E143" s="350">
        <v>15610</v>
      </c>
      <c r="F143" s="155">
        <v>15127</v>
      </c>
      <c r="G143" s="142">
        <f t="shared" si="22"/>
        <v>-483</v>
      </c>
      <c r="H143" s="134">
        <f t="shared" si="23"/>
        <v>96.905829596412545</v>
      </c>
      <c r="I143" s="252"/>
    </row>
    <row r="144" spans="1:9" s="5" customFormat="1" ht="20.100000000000001" customHeight="1">
      <c r="A144" s="358" t="s">
        <v>29</v>
      </c>
      <c r="B144" s="14">
        <v>1440</v>
      </c>
      <c r="C144" s="375">
        <v>71157</v>
      </c>
      <c r="D144" s="375">
        <f t="shared" si="24"/>
        <v>38366</v>
      </c>
      <c r="E144" s="350">
        <v>48450</v>
      </c>
      <c r="F144" s="155">
        <v>38366</v>
      </c>
      <c r="G144" s="142">
        <f t="shared" si="22"/>
        <v>-10084</v>
      </c>
      <c r="H144" s="134">
        <f t="shared" si="23"/>
        <v>79.186790505675958</v>
      </c>
      <c r="I144" s="252"/>
    </row>
    <row r="145" spans="1:9" s="5" customFormat="1">
      <c r="A145" s="356" t="s">
        <v>53</v>
      </c>
      <c r="B145" s="50">
        <v>1450</v>
      </c>
      <c r="C145" s="377">
        <f>SUM(C138,C141:C144)</f>
        <v>188058</v>
      </c>
      <c r="D145" s="377">
        <f>D138+D141+D142+D143+D144</f>
        <v>174176</v>
      </c>
      <c r="E145" s="338">
        <f>SUM(E139:E144)</f>
        <v>208428</v>
      </c>
      <c r="F145" s="180">
        <f>F138+F141+F142+F143+F144</f>
        <v>174176</v>
      </c>
      <c r="G145" s="225">
        <f t="shared" si="22"/>
        <v>-34252</v>
      </c>
      <c r="H145" s="135">
        <f t="shared" si="23"/>
        <v>83.566507379046968</v>
      </c>
      <c r="I145" s="252"/>
    </row>
    <row r="146" spans="1:9" s="5" customFormat="1">
      <c r="A146" s="55"/>
      <c r="B146" s="65"/>
      <c r="C146" s="381"/>
      <c r="D146" s="382"/>
      <c r="E146" s="65"/>
      <c r="F146" s="202"/>
      <c r="G146" s="229"/>
      <c r="H146" s="65"/>
      <c r="I146" s="253"/>
    </row>
    <row r="147" spans="1:9" s="5" customFormat="1">
      <c r="A147" s="55"/>
      <c r="B147" s="65"/>
      <c r="C147" s="381"/>
      <c r="D147" s="381"/>
      <c r="E147" s="65"/>
      <c r="F147" s="65"/>
      <c r="G147" s="229"/>
      <c r="H147" s="65"/>
      <c r="I147" s="253"/>
    </row>
    <row r="148" spans="1:9" s="5" customFormat="1">
      <c r="A148" s="55"/>
      <c r="B148" s="65"/>
      <c r="C148" s="381"/>
      <c r="D148" s="381"/>
      <c r="E148" s="65"/>
      <c r="F148" s="65"/>
      <c r="G148" s="229"/>
      <c r="H148" s="65"/>
      <c r="I148" s="253"/>
    </row>
    <row r="149" spans="1:9" s="5" customFormat="1">
      <c r="A149" s="55"/>
      <c r="B149" s="65"/>
      <c r="C149" s="381"/>
      <c r="D149" s="381"/>
      <c r="E149" s="65"/>
      <c r="F149" s="65"/>
      <c r="G149" s="229"/>
      <c r="H149" s="65"/>
      <c r="I149" s="253"/>
    </row>
    <row r="150" spans="1:9" s="5" customFormat="1">
      <c r="A150" s="55"/>
      <c r="B150" s="65"/>
      <c r="C150" s="381"/>
      <c r="D150" s="381"/>
      <c r="E150" s="65"/>
      <c r="F150" s="65"/>
      <c r="G150" s="229"/>
      <c r="H150" s="65"/>
      <c r="I150" s="253"/>
    </row>
    <row r="151" spans="1:9" s="5" customFormat="1">
      <c r="A151" s="55"/>
      <c r="B151" s="65"/>
      <c r="C151" s="381"/>
      <c r="D151" s="381"/>
      <c r="E151" s="65"/>
      <c r="F151" s="65"/>
      <c r="G151" s="229"/>
      <c r="H151" s="65"/>
      <c r="I151" s="253"/>
    </row>
    <row r="152" spans="1:9" s="5" customFormat="1">
      <c r="A152" s="55"/>
      <c r="B152" s="65"/>
      <c r="C152" s="381"/>
      <c r="D152" s="381"/>
      <c r="E152" s="65"/>
      <c r="F152" s="65"/>
      <c r="G152" s="229"/>
      <c r="H152" s="65"/>
      <c r="I152" s="253"/>
    </row>
    <row r="153" spans="1:9">
      <c r="A153" s="28"/>
      <c r="I153" s="254"/>
    </row>
    <row r="154" spans="1:9" ht="27.75" customHeight="1">
      <c r="A154" s="55" t="s">
        <v>597</v>
      </c>
      <c r="B154" s="1"/>
      <c r="C154" s="417" t="s">
        <v>93</v>
      </c>
      <c r="D154" s="417"/>
      <c r="E154" s="79"/>
      <c r="F154" s="391" t="s">
        <v>598</v>
      </c>
      <c r="G154" s="391"/>
      <c r="H154" s="391"/>
      <c r="I154" s="254"/>
    </row>
    <row r="155" spans="1:9" s="2" customFormat="1">
      <c r="A155" s="355"/>
      <c r="B155" s="3"/>
      <c r="C155" s="416" t="s">
        <v>214</v>
      </c>
      <c r="D155" s="416"/>
      <c r="E155" s="348"/>
      <c r="F155" s="398"/>
      <c r="G155" s="398"/>
      <c r="H155" s="398"/>
      <c r="I155" s="20"/>
    </row>
    <row r="156" spans="1:9">
      <c r="A156" s="28"/>
      <c r="I156" s="254"/>
    </row>
    <row r="157" spans="1:9">
      <c r="A157" s="28"/>
      <c r="I157" s="254"/>
    </row>
    <row r="158" spans="1:9">
      <c r="A158" s="28"/>
      <c r="I158" s="254"/>
    </row>
    <row r="159" spans="1:9">
      <c r="A159" s="28"/>
      <c r="I159" s="254"/>
    </row>
    <row r="160" spans="1:9">
      <c r="A160" s="28"/>
      <c r="I160" s="254"/>
    </row>
    <row r="161" spans="1:9">
      <c r="A161" s="28"/>
      <c r="I161" s="254"/>
    </row>
    <row r="162" spans="1:9">
      <c r="A162" s="28"/>
      <c r="I162" s="254"/>
    </row>
    <row r="163" spans="1:9">
      <c r="A163" s="28"/>
      <c r="I163" s="254"/>
    </row>
    <row r="164" spans="1:9">
      <c r="A164" s="28"/>
      <c r="I164" s="254"/>
    </row>
    <row r="165" spans="1:9">
      <c r="A165" s="28"/>
      <c r="I165" s="254"/>
    </row>
    <row r="166" spans="1:9">
      <c r="A166" s="28"/>
      <c r="I166" s="254"/>
    </row>
    <row r="167" spans="1:9">
      <c r="A167" s="28"/>
      <c r="I167" s="254"/>
    </row>
    <row r="168" spans="1:9">
      <c r="A168" s="28"/>
      <c r="I168" s="254"/>
    </row>
    <row r="169" spans="1:9">
      <c r="A169" s="28"/>
      <c r="I169" s="254"/>
    </row>
    <row r="170" spans="1:9">
      <c r="A170" s="28"/>
      <c r="I170" s="254"/>
    </row>
    <row r="171" spans="1:9">
      <c r="A171" s="28"/>
      <c r="I171" s="254"/>
    </row>
    <row r="172" spans="1:9">
      <c r="A172" s="28"/>
      <c r="I172" s="254"/>
    </row>
    <row r="173" spans="1:9">
      <c r="A173" s="28"/>
      <c r="I173" s="254"/>
    </row>
    <row r="174" spans="1:9">
      <c r="A174" s="28"/>
      <c r="I174" s="254"/>
    </row>
    <row r="175" spans="1:9">
      <c r="A175" s="28"/>
      <c r="I175" s="254"/>
    </row>
    <row r="176" spans="1:9">
      <c r="A176" s="28"/>
      <c r="I176" s="254"/>
    </row>
    <row r="177" spans="1:9">
      <c r="A177" s="28"/>
      <c r="I177" s="254"/>
    </row>
    <row r="178" spans="1:9">
      <c r="A178" s="28"/>
      <c r="I178" s="254"/>
    </row>
    <row r="179" spans="1:9">
      <c r="A179" s="28"/>
      <c r="I179" s="254"/>
    </row>
    <row r="180" spans="1:9">
      <c r="A180" s="28"/>
      <c r="I180" s="254"/>
    </row>
    <row r="181" spans="1:9">
      <c r="A181" s="28"/>
      <c r="I181" s="254"/>
    </row>
    <row r="182" spans="1:9">
      <c r="A182" s="28"/>
      <c r="I182" s="254"/>
    </row>
    <row r="183" spans="1:9">
      <c r="A183" s="28"/>
      <c r="I183" s="254"/>
    </row>
    <row r="184" spans="1:9">
      <c r="A184" s="28"/>
      <c r="I184" s="254"/>
    </row>
    <row r="185" spans="1:9">
      <c r="A185" s="28"/>
      <c r="I185" s="254"/>
    </row>
    <row r="186" spans="1:9">
      <c r="A186" s="28"/>
      <c r="I186" s="254"/>
    </row>
    <row r="187" spans="1:9">
      <c r="A187" s="28"/>
      <c r="I187" s="254"/>
    </row>
    <row r="188" spans="1:9">
      <c r="A188" s="28"/>
      <c r="I188" s="254"/>
    </row>
    <row r="189" spans="1:9">
      <c r="A189" s="28"/>
      <c r="I189" s="254"/>
    </row>
    <row r="190" spans="1:9">
      <c r="A190" s="28"/>
      <c r="I190" s="254"/>
    </row>
    <row r="191" spans="1:9">
      <c r="A191" s="28"/>
      <c r="I191" s="254"/>
    </row>
    <row r="192" spans="1:9">
      <c r="A192" s="28"/>
      <c r="I192" s="254"/>
    </row>
    <row r="193" spans="1:9">
      <c r="A193" s="28"/>
      <c r="I193" s="254"/>
    </row>
    <row r="194" spans="1:9">
      <c r="A194" s="28"/>
      <c r="I194" s="254"/>
    </row>
    <row r="195" spans="1:9">
      <c r="A195" s="28"/>
      <c r="I195" s="254"/>
    </row>
    <row r="196" spans="1:9">
      <c r="A196" s="28"/>
      <c r="I196" s="254"/>
    </row>
    <row r="197" spans="1:9">
      <c r="A197" s="28"/>
      <c r="I197" s="254"/>
    </row>
    <row r="198" spans="1:9">
      <c r="A198" s="28"/>
      <c r="I198" s="254"/>
    </row>
    <row r="199" spans="1:9">
      <c r="A199" s="28"/>
      <c r="I199" s="254"/>
    </row>
    <row r="200" spans="1:9">
      <c r="A200" s="28"/>
      <c r="I200" s="254"/>
    </row>
    <row r="201" spans="1:9">
      <c r="A201" s="28"/>
      <c r="I201" s="254"/>
    </row>
    <row r="202" spans="1:9">
      <c r="A202" s="28"/>
      <c r="I202" s="254"/>
    </row>
    <row r="203" spans="1:9">
      <c r="A203" s="28"/>
      <c r="I203" s="254"/>
    </row>
    <row r="204" spans="1:9">
      <c r="A204" s="28"/>
      <c r="I204" s="254"/>
    </row>
    <row r="205" spans="1:9">
      <c r="A205" s="28"/>
      <c r="I205" s="254"/>
    </row>
    <row r="206" spans="1:9">
      <c r="A206" s="28"/>
      <c r="I206" s="254"/>
    </row>
    <row r="207" spans="1:9">
      <c r="A207" s="28"/>
      <c r="I207" s="254"/>
    </row>
    <row r="208" spans="1:9">
      <c r="A208" s="28"/>
      <c r="I208" s="254"/>
    </row>
    <row r="209" spans="1:9">
      <c r="A209" s="28"/>
      <c r="I209" s="254"/>
    </row>
    <row r="210" spans="1:9">
      <c r="A210" s="28"/>
      <c r="I210" s="254"/>
    </row>
    <row r="211" spans="1:9">
      <c r="A211" s="28"/>
      <c r="I211" s="254"/>
    </row>
    <row r="212" spans="1:9">
      <c r="A212" s="28"/>
      <c r="I212" s="254"/>
    </row>
    <row r="213" spans="1:9">
      <c r="A213" s="28"/>
      <c r="I213" s="254"/>
    </row>
    <row r="214" spans="1:9">
      <c r="A214" s="51"/>
      <c r="I214" s="254"/>
    </row>
    <row r="215" spans="1:9">
      <c r="A215" s="51"/>
      <c r="I215" s="254"/>
    </row>
    <row r="216" spans="1:9">
      <c r="A216" s="51"/>
      <c r="I216" s="254"/>
    </row>
    <row r="217" spans="1:9">
      <c r="A217" s="51"/>
      <c r="I217" s="254"/>
    </row>
    <row r="218" spans="1:9">
      <c r="A218" s="51"/>
      <c r="I218" s="254"/>
    </row>
    <row r="219" spans="1:9">
      <c r="A219" s="51"/>
      <c r="I219" s="254"/>
    </row>
    <row r="220" spans="1:9">
      <c r="A220" s="51"/>
      <c r="I220" s="254"/>
    </row>
    <row r="221" spans="1:9">
      <c r="A221" s="51"/>
      <c r="I221" s="254"/>
    </row>
    <row r="222" spans="1:9">
      <c r="A222" s="51"/>
      <c r="I222" s="254"/>
    </row>
    <row r="223" spans="1:9">
      <c r="A223" s="51"/>
      <c r="I223" s="254"/>
    </row>
    <row r="224" spans="1:9">
      <c r="A224" s="51"/>
      <c r="I224" s="254"/>
    </row>
    <row r="225" spans="1:9">
      <c r="A225" s="51"/>
      <c r="I225" s="254"/>
    </row>
    <row r="226" spans="1:9">
      <c r="A226" s="51"/>
      <c r="I226" s="254"/>
    </row>
    <row r="227" spans="1:9">
      <c r="A227" s="51"/>
      <c r="I227" s="254"/>
    </row>
    <row r="228" spans="1:9">
      <c r="A228" s="51"/>
      <c r="I228" s="254"/>
    </row>
    <row r="229" spans="1:9">
      <c r="A229" s="51"/>
      <c r="I229" s="254"/>
    </row>
    <row r="230" spans="1:9">
      <c r="A230" s="51"/>
    </row>
    <row r="231" spans="1:9">
      <c r="A231" s="51"/>
    </row>
    <row r="232" spans="1:9">
      <c r="A232" s="51"/>
    </row>
    <row r="233" spans="1:9">
      <c r="A233" s="51"/>
    </row>
    <row r="234" spans="1:9">
      <c r="A234" s="51"/>
    </row>
    <row r="235" spans="1:9">
      <c r="A235" s="51"/>
    </row>
    <row r="236" spans="1:9">
      <c r="A236" s="51"/>
    </row>
    <row r="237" spans="1:9">
      <c r="A237" s="51"/>
    </row>
    <row r="238" spans="1:9">
      <c r="A238" s="51"/>
    </row>
    <row r="239" spans="1:9">
      <c r="A239" s="51"/>
    </row>
    <row r="240" spans="1:9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  <row r="329" spans="1:1">
      <c r="A329" s="51"/>
    </row>
    <row r="330" spans="1:1">
      <c r="A330" s="51"/>
    </row>
    <row r="331" spans="1:1">
      <c r="A331" s="51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</sheetData>
  <mergeCells count="12">
    <mergeCell ref="C155:D155"/>
    <mergeCell ref="F155:H155"/>
    <mergeCell ref="C154:D154"/>
    <mergeCell ref="F154:H154"/>
    <mergeCell ref="A1:H1"/>
    <mergeCell ref="A137:H137"/>
    <mergeCell ref="C3:D3"/>
    <mergeCell ref="B3:B4"/>
    <mergeCell ref="A3:A4"/>
    <mergeCell ref="E3:I3"/>
    <mergeCell ref="A6:H6"/>
    <mergeCell ref="A129:H12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Height="4" orientation="portrait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138:H145 G122:G124 G72 G115 G105 H131:H132 G133:H133 H8:H10 G9:G16 G35:H35 H80:H81 G89:G93 H88:H89 H104 G136:H136 G109 H12:H16 G41:H46 G51:H51 G47:G48 G49:G50 G54:H55 G52:G53 G57:H57 G56 H83 H94 H111 H109 G107 H118:H119 H124 H126:H127 G134:G13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F41"/>
  </sheetPr>
  <dimension ref="A1:M204"/>
  <sheetViews>
    <sheetView zoomScale="70" zoomScaleNormal="70" zoomScaleSheetLayoutView="75" workbookViewId="0">
      <pane xSplit="2" ySplit="4" topLeftCell="C5" activePane="bottomRight" state="frozen"/>
      <selection activeCell="L67" sqref="L67:M67"/>
      <selection pane="topRight" activeCell="L67" sqref="L67:M67"/>
      <selection pane="bottomLeft" activeCell="L67" sqref="L67:M67"/>
      <selection pane="bottomRight" activeCell="L12" sqref="L12"/>
    </sheetView>
  </sheetViews>
  <sheetFormatPr defaultRowHeight="18.75" outlineLevelRow="1"/>
  <cols>
    <col min="1" max="1" width="86.85546875" style="45" customWidth="1"/>
    <col min="2" max="2" width="15.28515625" style="48" customWidth="1"/>
    <col min="3" max="6" width="18.7109375" style="48" customWidth="1"/>
    <col min="7" max="7" width="18.7109375" style="226" customWidth="1"/>
    <col min="8" max="8" width="15" style="48" customWidth="1"/>
    <col min="9" max="9" width="10" style="45" customWidth="1"/>
    <col min="10" max="10" width="9.5703125" style="45" customWidth="1"/>
    <col min="11" max="12" width="9.140625" style="45"/>
    <col min="13" max="13" width="22.85546875" style="45" customWidth="1"/>
    <col min="14" max="16384" width="9.140625" style="45"/>
  </cols>
  <sheetData>
    <row r="1" spans="1:8">
      <c r="A1" s="427" t="s">
        <v>120</v>
      </c>
      <c r="B1" s="427"/>
      <c r="C1" s="427"/>
      <c r="D1" s="427"/>
      <c r="E1" s="427"/>
      <c r="F1" s="427"/>
      <c r="G1" s="427"/>
      <c r="H1" s="427"/>
    </row>
    <row r="2" spans="1:8">
      <c r="A2" s="427"/>
      <c r="B2" s="427"/>
      <c r="C2" s="427"/>
      <c r="D2" s="427"/>
      <c r="E2" s="427"/>
      <c r="F2" s="427"/>
      <c r="G2" s="427"/>
      <c r="H2" s="427"/>
    </row>
    <row r="3" spans="1:8" ht="38.25" customHeight="1">
      <c r="A3" s="392" t="s">
        <v>194</v>
      </c>
      <c r="B3" s="431" t="s">
        <v>18</v>
      </c>
      <c r="C3" s="389" t="s">
        <v>341</v>
      </c>
      <c r="D3" s="389"/>
      <c r="E3" s="392" t="s">
        <v>675</v>
      </c>
      <c r="F3" s="392"/>
      <c r="G3" s="392"/>
      <c r="H3" s="392"/>
    </row>
    <row r="4" spans="1:8" ht="39" customHeight="1">
      <c r="A4" s="392"/>
      <c r="B4" s="431"/>
      <c r="C4" s="268" t="s">
        <v>182</v>
      </c>
      <c r="D4" s="268" t="s">
        <v>183</v>
      </c>
      <c r="E4" s="268" t="s">
        <v>693</v>
      </c>
      <c r="F4" s="268" t="s">
        <v>694</v>
      </c>
      <c r="G4" s="223" t="s">
        <v>189</v>
      </c>
      <c r="H4" s="69" t="s">
        <v>190</v>
      </c>
    </row>
    <row r="5" spans="1:8">
      <c r="A5" s="271">
        <v>1</v>
      </c>
      <c r="B5" s="272">
        <v>2</v>
      </c>
      <c r="C5" s="271">
        <v>3</v>
      </c>
      <c r="D5" s="272">
        <v>4</v>
      </c>
      <c r="E5" s="271">
        <v>5</v>
      </c>
      <c r="F5" s="272">
        <v>6</v>
      </c>
      <c r="G5" s="246">
        <v>7</v>
      </c>
      <c r="H5" s="272">
        <v>8</v>
      </c>
    </row>
    <row r="6" spans="1:8" ht="24.95" customHeight="1">
      <c r="A6" s="429" t="s">
        <v>119</v>
      </c>
      <c r="B6" s="429"/>
      <c r="C6" s="429"/>
      <c r="D6" s="429"/>
      <c r="E6" s="429"/>
      <c r="F6" s="429"/>
      <c r="G6" s="429"/>
      <c r="H6" s="429"/>
    </row>
    <row r="7" spans="1:8" ht="42.75" customHeight="1">
      <c r="A7" s="46" t="s">
        <v>55</v>
      </c>
      <c r="B7" s="270">
        <v>2000</v>
      </c>
      <c r="C7" s="155"/>
      <c r="D7" s="289">
        <f>F7</f>
        <v>-13445.4</v>
      </c>
      <c r="E7" s="289"/>
      <c r="F7" s="289">
        <v>-13445.4</v>
      </c>
      <c r="G7" s="142">
        <f t="shared" ref="G7:G16" si="0">F7-E7</f>
        <v>-13445.4</v>
      </c>
      <c r="H7" s="249" t="e">
        <f t="shared" ref="H7:H16" si="1">(F7/E7)*100</f>
        <v>#DIV/0!</v>
      </c>
    </row>
    <row r="8" spans="1:8" ht="37.5">
      <c r="A8" s="46" t="s">
        <v>257</v>
      </c>
      <c r="B8" s="270">
        <v>2010</v>
      </c>
      <c r="C8" s="287">
        <f>SUM(C9:C10)</f>
        <v>-10155</v>
      </c>
      <c r="D8" s="289">
        <f t="shared" ref="D8:D22" si="2">F8</f>
        <v>-4861</v>
      </c>
      <c r="E8" s="289">
        <f>E9</f>
        <v>-2025</v>
      </c>
      <c r="F8" s="289">
        <f>F9</f>
        <v>-4861</v>
      </c>
      <c r="G8" s="142">
        <f t="shared" si="0"/>
        <v>-2836</v>
      </c>
      <c r="H8" s="249">
        <f t="shared" si="1"/>
        <v>240.04938271604939</v>
      </c>
    </row>
    <row r="9" spans="1:8" ht="42.75" customHeight="1">
      <c r="A9" s="275" t="s">
        <v>144</v>
      </c>
      <c r="B9" s="270">
        <v>2011</v>
      </c>
      <c r="C9" s="287">
        <v>-10155</v>
      </c>
      <c r="D9" s="289">
        <f t="shared" si="2"/>
        <v>-4861</v>
      </c>
      <c r="E9" s="289">
        <f>-ROUND('I. Фін результат'!E124*0.75,0)</f>
        <v>-2025</v>
      </c>
      <c r="F9" s="289">
        <f>-ROUNDDOWN('I. Фін результат'!F124*0.75,0)</f>
        <v>-4861</v>
      </c>
      <c r="G9" s="142">
        <f t="shared" si="0"/>
        <v>-2836</v>
      </c>
      <c r="H9" s="249">
        <f t="shared" si="1"/>
        <v>240.04938271604939</v>
      </c>
    </row>
    <row r="10" spans="1:8" ht="42.75" customHeight="1">
      <c r="A10" s="275" t="s">
        <v>382</v>
      </c>
      <c r="B10" s="270">
        <v>2012</v>
      </c>
      <c r="C10" s="287" t="s">
        <v>229</v>
      </c>
      <c r="D10" s="289" t="str">
        <f t="shared" si="2"/>
        <v>(    )</v>
      </c>
      <c r="E10" s="289" t="s">
        <v>229</v>
      </c>
      <c r="F10" s="289" t="s">
        <v>229</v>
      </c>
      <c r="G10" s="250" t="e">
        <f t="shared" si="0"/>
        <v>#VALUE!</v>
      </c>
      <c r="H10" s="251" t="e">
        <f t="shared" si="1"/>
        <v>#VALUE!</v>
      </c>
    </row>
    <row r="11" spans="1:8" ht="20.100000000000001" customHeight="1">
      <c r="A11" s="275" t="s">
        <v>128</v>
      </c>
      <c r="B11" s="270" t="s">
        <v>151</v>
      </c>
      <c r="C11" s="287" t="s">
        <v>229</v>
      </c>
      <c r="D11" s="289" t="str">
        <f t="shared" si="2"/>
        <v>(    )</v>
      </c>
      <c r="E11" s="289" t="s">
        <v>229</v>
      </c>
      <c r="F11" s="289" t="s">
        <v>229</v>
      </c>
      <c r="G11" s="250" t="e">
        <f t="shared" si="0"/>
        <v>#VALUE!</v>
      </c>
      <c r="H11" s="251" t="e">
        <f t="shared" si="1"/>
        <v>#VALUE!</v>
      </c>
    </row>
    <row r="12" spans="1:8" ht="20.100000000000001" customHeight="1">
      <c r="A12" s="275" t="s">
        <v>137</v>
      </c>
      <c r="B12" s="270">
        <v>2020</v>
      </c>
      <c r="C12" s="287"/>
      <c r="D12" s="289">
        <f t="shared" si="2"/>
        <v>0</v>
      </c>
      <c r="E12" s="289"/>
      <c r="F12" s="289"/>
      <c r="G12" s="250">
        <f t="shared" si="0"/>
        <v>0</v>
      </c>
      <c r="H12" s="251" t="e">
        <f t="shared" si="1"/>
        <v>#DIV/0!</v>
      </c>
    </row>
    <row r="13" spans="1:8" s="47" customFormat="1" ht="20.100000000000001" customHeight="1">
      <c r="A13" s="46" t="s">
        <v>65</v>
      </c>
      <c r="B13" s="270">
        <v>2030</v>
      </c>
      <c r="C13" s="287">
        <v>0</v>
      </c>
      <c r="D13" s="289" t="str">
        <f t="shared" si="2"/>
        <v>-</v>
      </c>
      <c r="E13" s="289"/>
      <c r="F13" s="289" t="s">
        <v>508</v>
      </c>
      <c r="G13" s="250" t="e">
        <f t="shared" si="0"/>
        <v>#VALUE!</v>
      </c>
      <c r="H13" s="251" t="e">
        <f t="shared" si="1"/>
        <v>#VALUE!</v>
      </c>
    </row>
    <row r="14" spans="1:8" ht="20.100000000000001" customHeight="1">
      <c r="A14" s="46" t="s">
        <v>113</v>
      </c>
      <c r="B14" s="270">
        <v>2031</v>
      </c>
      <c r="C14" s="287">
        <v>0</v>
      </c>
      <c r="D14" s="289" t="str">
        <f t="shared" si="2"/>
        <v>-</v>
      </c>
      <c r="E14" s="289"/>
      <c r="F14" s="289" t="s">
        <v>508</v>
      </c>
      <c r="G14" s="250" t="e">
        <f t="shared" si="0"/>
        <v>#VALUE!</v>
      </c>
      <c r="H14" s="251" t="e">
        <f t="shared" si="1"/>
        <v>#VALUE!</v>
      </c>
    </row>
    <row r="15" spans="1:8" ht="20.100000000000001" customHeight="1">
      <c r="A15" s="46" t="s">
        <v>27</v>
      </c>
      <c r="B15" s="270">
        <v>2040</v>
      </c>
      <c r="C15" s="287" t="s">
        <v>229</v>
      </c>
      <c r="D15" s="289" t="str">
        <f t="shared" si="2"/>
        <v>(    )</v>
      </c>
      <c r="E15" s="289" t="s">
        <v>229</v>
      </c>
      <c r="F15" s="289" t="s">
        <v>229</v>
      </c>
      <c r="G15" s="250" t="e">
        <f t="shared" si="0"/>
        <v>#VALUE!</v>
      </c>
      <c r="H15" s="251" t="e">
        <f t="shared" si="1"/>
        <v>#VALUE!</v>
      </c>
    </row>
    <row r="16" spans="1:8" ht="20.100000000000001" customHeight="1">
      <c r="A16" s="46" t="s">
        <v>102</v>
      </c>
      <c r="B16" s="270">
        <v>2050</v>
      </c>
      <c r="C16" s="287">
        <f>C17+C18</f>
        <v>-721.4</v>
      </c>
      <c r="D16" s="289" t="str">
        <f t="shared" si="2"/>
        <v>-</v>
      </c>
      <c r="E16" s="289" t="s">
        <v>229</v>
      </c>
      <c r="F16" s="289" t="s">
        <v>508</v>
      </c>
      <c r="G16" s="250" t="e">
        <f t="shared" si="0"/>
        <v>#VALUE!</v>
      </c>
      <c r="H16" s="251" t="e">
        <f t="shared" si="1"/>
        <v>#VALUE!</v>
      </c>
    </row>
    <row r="17" spans="1:13" ht="20.100000000000001" customHeight="1">
      <c r="A17" s="46" t="s">
        <v>475</v>
      </c>
      <c r="B17" s="270" t="s">
        <v>477</v>
      </c>
      <c r="C17" s="287"/>
      <c r="D17" s="289">
        <f t="shared" si="2"/>
        <v>0</v>
      </c>
      <c r="E17" s="289"/>
      <c r="F17" s="289"/>
      <c r="G17" s="250"/>
      <c r="H17" s="251"/>
    </row>
    <row r="18" spans="1:13" ht="20.100000000000001" customHeight="1">
      <c r="A18" s="46" t="s">
        <v>476</v>
      </c>
      <c r="B18" s="270" t="s">
        <v>478</v>
      </c>
      <c r="C18" s="287">
        <v>-721.4</v>
      </c>
      <c r="D18" s="289">
        <f t="shared" si="2"/>
        <v>0</v>
      </c>
      <c r="E18" s="289"/>
      <c r="F18" s="289"/>
      <c r="G18" s="250"/>
      <c r="H18" s="251"/>
    </row>
    <row r="19" spans="1:13" ht="20.100000000000001" customHeight="1">
      <c r="A19" s="46" t="s">
        <v>103</v>
      </c>
      <c r="B19" s="270">
        <v>2060</v>
      </c>
      <c r="C19" s="287">
        <f>C20</f>
        <v>-16109</v>
      </c>
      <c r="D19" s="289">
        <f t="shared" si="2"/>
        <v>-715</v>
      </c>
      <c r="E19" s="289">
        <f>E20+E21</f>
        <v>-13933.4</v>
      </c>
      <c r="F19" s="289">
        <f>F20</f>
        <v>-715</v>
      </c>
      <c r="G19" s="142">
        <f>F19-E19</f>
        <v>13218.4</v>
      </c>
      <c r="H19" s="249">
        <f>(F19/E19)*100</f>
        <v>5.1315543944765816</v>
      </c>
    </row>
    <row r="20" spans="1:13" ht="35.25" customHeight="1">
      <c r="A20" s="46" t="s">
        <v>576</v>
      </c>
      <c r="B20" s="270" t="s">
        <v>575</v>
      </c>
      <c r="C20" s="287">
        <v>-16109</v>
      </c>
      <c r="D20" s="289">
        <f t="shared" si="2"/>
        <v>-715</v>
      </c>
      <c r="E20" s="289">
        <v>0</v>
      </c>
      <c r="F20" s="289">
        <v>-715</v>
      </c>
      <c r="G20" s="142">
        <f>F20-E20</f>
        <v>-715</v>
      </c>
      <c r="H20" s="249" t="e">
        <f>(F20/E20)*100</f>
        <v>#DIV/0!</v>
      </c>
    </row>
    <row r="21" spans="1:13" ht="53.25" customHeight="1" outlineLevel="1">
      <c r="A21" s="46" t="s">
        <v>594</v>
      </c>
      <c r="B21" s="270" t="s">
        <v>593</v>
      </c>
      <c r="C21" s="287"/>
      <c r="D21" s="289">
        <f t="shared" si="2"/>
        <v>0</v>
      </c>
      <c r="E21" s="289">
        <v>-13933.4</v>
      </c>
      <c r="F21" s="289"/>
      <c r="G21" s="142">
        <f>F21-E21</f>
        <v>13933.4</v>
      </c>
      <c r="H21" s="249">
        <f>(F21/E21)*100</f>
        <v>0</v>
      </c>
    </row>
    <row r="22" spans="1:13" ht="42.75" customHeight="1">
      <c r="A22" s="46" t="s">
        <v>56</v>
      </c>
      <c r="B22" s="270">
        <v>2070</v>
      </c>
      <c r="C22" s="287">
        <f>SUM(C7,C8,C12,C13,C15,C16,C19)+'I. Фін результат'!C123</f>
        <v>-13445.400000000001</v>
      </c>
      <c r="D22" s="289">
        <f t="shared" si="2"/>
        <v>-12539.4</v>
      </c>
      <c r="E22" s="289">
        <f>'I. Фін результат'!E124+'ІІ. Розр. з бюджетом'!E9+E7+E19</f>
        <v>-13258.4</v>
      </c>
      <c r="F22" s="289">
        <f>'I. Фін результат'!F124+'ІІ. Розр. з бюджетом'!F9+F7+F20</f>
        <v>-12539.4</v>
      </c>
      <c r="G22" s="142">
        <f>F22-E22</f>
        <v>719</v>
      </c>
      <c r="H22" s="249">
        <f>(F22/E22)*100</f>
        <v>94.577022868521084</v>
      </c>
    </row>
    <row r="23" spans="1:13" ht="24.95" customHeight="1">
      <c r="A23" s="429" t="s">
        <v>367</v>
      </c>
      <c r="B23" s="429"/>
      <c r="C23" s="429"/>
      <c r="D23" s="429"/>
      <c r="E23" s="429"/>
      <c r="F23" s="429"/>
      <c r="G23" s="429"/>
      <c r="H23" s="429"/>
    </row>
    <row r="24" spans="1:13" ht="37.5">
      <c r="A24" s="167" t="s">
        <v>359</v>
      </c>
      <c r="B24" s="168">
        <v>2110</v>
      </c>
      <c r="C24" s="194">
        <f>SUM(C25:C33)</f>
        <v>99689.8</v>
      </c>
      <c r="D24" s="194">
        <f>SUM(D25:D33)</f>
        <v>7812</v>
      </c>
      <c r="E24" s="194">
        <f>SUM(E25:E33)</f>
        <v>7966</v>
      </c>
      <c r="F24" s="194">
        <f>SUM(F25:F33)</f>
        <v>7812</v>
      </c>
      <c r="G24" s="224">
        <f t="shared" ref="G24:G44" si="3">F24-E24</f>
        <v>-154</v>
      </c>
      <c r="H24" s="163">
        <f>ABS(F24/E24)*100</f>
        <v>98.066783831282962</v>
      </c>
      <c r="M24" s="257"/>
    </row>
    <row r="25" spans="1:13">
      <c r="A25" s="8" t="s">
        <v>263</v>
      </c>
      <c r="B25" s="6">
        <v>2111</v>
      </c>
      <c r="C25" s="287">
        <v>23609</v>
      </c>
      <c r="D25" s="289">
        <v>1183</v>
      </c>
      <c r="E25" s="289">
        <v>3231</v>
      </c>
      <c r="F25" s="289">
        <v>1183</v>
      </c>
      <c r="G25" s="142">
        <f t="shared" si="3"/>
        <v>-2048</v>
      </c>
      <c r="H25" s="134">
        <f t="shared" ref="H25:H49" si="4">(F25/E25)*100</f>
        <v>36.614051377282578</v>
      </c>
      <c r="M25" s="257"/>
    </row>
    <row r="26" spans="1:13">
      <c r="A26" s="8" t="s">
        <v>360</v>
      </c>
      <c r="B26" s="6">
        <v>2112</v>
      </c>
      <c r="C26" s="287">
        <v>165</v>
      </c>
      <c r="D26" s="289">
        <v>167</v>
      </c>
      <c r="E26" s="289">
        <v>130</v>
      </c>
      <c r="F26" s="289">
        <v>167</v>
      </c>
      <c r="G26" s="142">
        <f t="shared" si="3"/>
        <v>37</v>
      </c>
      <c r="H26" s="134">
        <f t="shared" si="4"/>
        <v>128.46153846153848</v>
      </c>
      <c r="M26" s="257"/>
    </row>
    <row r="27" spans="1:13" s="47" customFormat="1" ht="18.75" customHeight="1">
      <c r="A27" s="46" t="s">
        <v>361</v>
      </c>
      <c r="B27" s="52">
        <v>2113</v>
      </c>
      <c r="C27" s="287">
        <v>0</v>
      </c>
      <c r="D27" s="289"/>
      <c r="E27" s="289"/>
      <c r="F27" s="289"/>
      <c r="G27" s="142">
        <f t="shared" si="3"/>
        <v>0</v>
      </c>
      <c r="H27" s="192" t="e">
        <f t="shared" si="4"/>
        <v>#DIV/0!</v>
      </c>
      <c r="M27" s="257"/>
    </row>
    <row r="28" spans="1:13">
      <c r="A28" s="46" t="s">
        <v>77</v>
      </c>
      <c r="B28" s="52">
        <v>2114</v>
      </c>
      <c r="C28" s="287"/>
      <c r="D28" s="289"/>
      <c r="E28" s="289"/>
      <c r="F28" s="289"/>
      <c r="G28" s="142">
        <f t="shared" si="3"/>
        <v>0</v>
      </c>
      <c r="H28" s="192" t="e">
        <f t="shared" si="4"/>
        <v>#DIV/0!</v>
      </c>
      <c r="M28" s="257"/>
    </row>
    <row r="29" spans="1:13" ht="37.5">
      <c r="A29" s="46" t="s">
        <v>362</v>
      </c>
      <c r="B29" s="52">
        <v>2115</v>
      </c>
      <c r="C29" s="287">
        <v>74261.2</v>
      </c>
      <c r="D29" s="289">
        <v>4629</v>
      </c>
      <c r="E29" s="289">
        <v>2395</v>
      </c>
      <c r="F29" s="289">
        <v>4629</v>
      </c>
      <c r="G29" s="142">
        <f t="shared" si="3"/>
        <v>2234</v>
      </c>
      <c r="H29" s="134">
        <f>ABS(F29/E29)*100</f>
        <v>193.27766179540711</v>
      </c>
      <c r="M29" s="257"/>
    </row>
    <row r="30" spans="1:13" s="49" customFormat="1">
      <c r="A30" s="46" t="s">
        <v>92</v>
      </c>
      <c r="B30" s="52">
        <v>2116</v>
      </c>
      <c r="C30" s="287"/>
      <c r="D30" s="156"/>
      <c r="E30" s="289"/>
      <c r="F30" s="156"/>
      <c r="G30" s="142">
        <f t="shared" si="3"/>
        <v>0</v>
      </c>
      <c r="H30" s="192" t="e">
        <f t="shared" si="4"/>
        <v>#DIV/0!</v>
      </c>
      <c r="I30" s="45"/>
      <c r="M30" s="257"/>
    </row>
    <row r="31" spans="1:13" ht="20.100000000000001" customHeight="1">
      <c r="A31" s="46" t="s">
        <v>383</v>
      </c>
      <c r="B31" s="52">
        <v>2117</v>
      </c>
      <c r="C31" s="287"/>
      <c r="D31" s="156"/>
      <c r="E31" s="289"/>
      <c r="F31" s="156"/>
      <c r="G31" s="142">
        <f t="shared" si="3"/>
        <v>0</v>
      </c>
      <c r="H31" s="192" t="e">
        <f t="shared" si="4"/>
        <v>#DIV/0!</v>
      </c>
      <c r="M31" s="257"/>
    </row>
    <row r="32" spans="1:13" ht="20.100000000000001" customHeight="1">
      <c r="A32" s="46" t="s">
        <v>76</v>
      </c>
      <c r="B32" s="52">
        <v>2118</v>
      </c>
      <c r="C32" s="287"/>
      <c r="D32" s="156"/>
      <c r="E32" s="289"/>
      <c r="F32" s="156"/>
      <c r="G32" s="142">
        <f t="shared" si="3"/>
        <v>0</v>
      </c>
      <c r="H32" s="192" t="e">
        <f t="shared" si="4"/>
        <v>#DIV/0!</v>
      </c>
      <c r="M32" s="257"/>
    </row>
    <row r="33" spans="1:13" ht="20.100000000000001" customHeight="1">
      <c r="A33" s="46" t="s">
        <v>368</v>
      </c>
      <c r="B33" s="52">
        <v>2119</v>
      </c>
      <c r="C33" s="287">
        <f>SUM(C34:C35)</f>
        <v>1654.6</v>
      </c>
      <c r="D33" s="289">
        <f>SUM(D34:D35)</f>
        <v>1833</v>
      </c>
      <c r="E33" s="289">
        <f>SUM(E34:E35)</f>
        <v>2210</v>
      </c>
      <c r="F33" s="289">
        <f>SUM(F34:F35)</f>
        <v>1833</v>
      </c>
      <c r="G33" s="142">
        <f t="shared" si="3"/>
        <v>-377</v>
      </c>
      <c r="H33" s="134">
        <f t="shared" si="4"/>
        <v>82.941176470588246</v>
      </c>
      <c r="M33" s="257"/>
    </row>
    <row r="34" spans="1:13" ht="20.100000000000001" customHeight="1">
      <c r="A34" s="46" t="s">
        <v>443</v>
      </c>
      <c r="B34" s="52" t="s">
        <v>445</v>
      </c>
      <c r="C34" s="287">
        <v>388</v>
      </c>
      <c r="D34" s="289">
        <v>556</v>
      </c>
      <c r="E34" s="289">
        <v>721</v>
      </c>
      <c r="F34" s="289">
        <v>556</v>
      </c>
      <c r="G34" s="142">
        <f t="shared" si="3"/>
        <v>-165</v>
      </c>
      <c r="H34" s="134">
        <f t="shared" si="4"/>
        <v>77.115117891816922</v>
      </c>
      <c r="M34" s="257"/>
    </row>
    <row r="35" spans="1:13" ht="20.100000000000001" customHeight="1">
      <c r="A35" s="46" t="s">
        <v>444</v>
      </c>
      <c r="B35" s="52" t="s">
        <v>446</v>
      </c>
      <c r="C35" s="287">
        <v>1266.5999999999999</v>
      </c>
      <c r="D35" s="289">
        <v>1277</v>
      </c>
      <c r="E35" s="289">
        <v>1489</v>
      </c>
      <c r="F35" s="289">
        <v>1277</v>
      </c>
      <c r="G35" s="142">
        <f t="shared" si="3"/>
        <v>-212</v>
      </c>
      <c r="H35" s="134">
        <f t="shared" si="4"/>
        <v>85.762256548018797</v>
      </c>
      <c r="M35" s="257"/>
    </row>
    <row r="36" spans="1:13" ht="37.5">
      <c r="A36" s="167" t="s">
        <v>369</v>
      </c>
      <c r="B36" s="169">
        <v>2120</v>
      </c>
      <c r="C36" s="194">
        <f>SUM(C37:C40)</f>
        <v>15634.199999999999</v>
      </c>
      <c r="D36" s="195">
        <f>SUM(D37:D40)</f>
        <v>15932</v>
      </c>
      <c r="E36" s="195">
        <f>SUM(E37:E40)</f>
        <v>18486</v>
      </c>
      <c r="F36" s="195">
        <f>SUM(F37:F40)</f>
        <v>15932</v>
      </c>
      <c r="G36" s="224">
        <f t="shared" si="3"/>
        <v>-2554</v>
      </c>
      <c r="H36" s="163">
        <f t="shared" si="4"/>
        <v>86.184139348696306</v>
      </c>
      <c r="M36" s="257"/>
    </row>
    <row r="37" spans="1:13" ht="20.100000000000001" customHeight="1">
      <c r="A37" s="46" t="s">
        <v>76</v>
      </c>
      <c r="B37" s="52">
        <v>2121</v>
      </c>
      <c r="C37" s="287">
        <v>15188.6</v>
      </c>
      <c r="D37" s="289">
        <v>15335</v>
      </c>
      <c r="E37" s="289">
        <v>17867</v>
      </c>
      <c r="F37" s="289">
        <v>15335</v>
      </c>
      <c r="G37" s="142">
        <f t="shared" si="3"/>
        <v>-2532</v>
      </c>
      <c r="H37" s="134">
        <f t="shared" si="4"/>
        <v>85.828622600324621</v>
      </c>
      <c r="M37" s="257"/>
    </row>
    <row r="38" spans="1:13" ht="20.100000000000001" customHeight="1">
      <c r="A38" s="46" t="s">
        <v>370</v>
      </c>
      <c r="B38" s="52">
        <v>2122</v>
      </c>
      <c r="C38" s="287">
        <v>0.8</v>
      </c>
      <c r="D38" s="289">
        <v>179</v>
      </c>
      <c r="E38" s="289">
        <v>143</v>
      </c>
      <c r="F38" s="289">
        <v>179</v>
      </c>
      <c r="G38" s="142">
        <f t="shared" si="3"/>
        <v>36</v>
      </c>
      <c r="H38" s="134">
        <f t="shared" si="4"/>
        <v>125.17482517482517</v>
      </c>
      <c r="M38" s="257"/>
    </row>
    <row r="39" spans="1:13" ht="20.100000000000001" customHeight="1">
      <c r="A39" s="46" t="s">
        <v>371</v>
      </c>
      <c r="B39" s="52">
        <v>2123</v>
      </c>
      <c r="C39" s="287">
        <v>443.3</v>
      </c>
      <c r="D39" s="289">
        <v>400</v>
      </c>
      <c r="E39" s="289">
        <v>466</v>
      </c>
      <c r="F39" s="289">
        <v>400</v>
      </c>
      <c r="G39" s="142">
        <f t="shared" si="3"/>
        <v>-66</v>
      </c>
      <c r="H39" s="134">
        <f t="shared" si="4"/>
        <v>85.836909871244643</v>
      </c>
      <c r="M39" s="257"/>
    </row>
    <row r="40" spans="1:13" s="47" customFormat="1">
      <c r="A40" s="46" t="s">
        <v>563</v>
      </c>
      <c r="B40" s="52">
        <v>2124</v>
      </c>
      <c r="C40" s="287">
        <v>1.5</v>
      </c>
      <c r="D40" s="289">
        <v>18</v>
      </c>
      <c r="E40" s="289">
        <v>10</v>
      </c>
      <c r="F40" s="289">
        <v>18</v>
      </c>
      <c r="G40" s="142">
        <f t="shared" si="3"/>
        <v>8</v>
      </c>
      <c r="H40" s="134">
        <f t="shared" si="4"/>
        <v>180</v>
      </c>
      <c r="K40" s="45"/>
      <c r="M40" s="257"/>
    </row>
    <row r="41" spans="1:13" ht="40.5" customHeight="1">
      <c r="A41" s="167" t="s">
        <v>372</v>
      </c>
      <c r="B41" s="169">
        <v>2130</v>
      </c>
      <c r="C41" s="194">
        <f>SUM(C42:C45)</f>
        <v>17384</v>
      </c>
      <c r="D41" s="195">
        <f>D44</f>
        <v>18166</v>
      </c>
      <c r="E41" s="195">
        <f>E44</f>
        <v>21947</v>
      </c>
      <c r="F41" s="195">
        <f>F44</f>
        <v>18166</v>
      </c>
      <c r="G41" s="224">
        <f t="shared" si="3"/>
        <v>-3781</v>
      </c>
      <c r="H41" s="163">
        <f t="shared" si="4"/>
        <v>82.772132865539703</v>
      </c>
      <c r="M41" s="257"/>
    </row>
    <row r="42" spans="1:13" ht="60.75" customHeight="1">
      <c r="A42" s="46" t="s">
        <v>384</v>
      </c>
      <c r="B42" s="52">
        <v>2131</v>
      </c>
      <c r="C42" s="155"/>
      <c r="D42" s="156"/>
      <c r="E42" s="156"/>
      <c r="F42" s="156"/>
      <c r="G42" s="142">
        <f t="shared" si="3"/>
        <v>0</v>
      </c>
      <c r="H42" s="192" t="e">
        <f t="shared" si="4"/>
        <v>#DIV/0!</v>
      </c>
      <c r="M42" s="257"/>
    </row>
    <row r="43" spans="1:13" s="47" customFormat="1" ht="20.100000000000001" customHeight="1">
      <c r="A43" s="46" t="s">
        <v>373</v>
      </c>
      <c r="B43" s="52">
        <v>2132</v>
      </c>
      <c r="C43" s="155"/>
      <c r="D43" s="156"/>
      <c r="E43" s="156"/>
      <c r="F43" s="156"/>
      <c r="G43" s="142">
        <f t="shared" si="3"/>
        <v>0</v>
      </c>
      <c r="H43" s="192" t="e">
        <f t="shared" si="4"/>
        <v>#DIV/0!</v>
      </c>
      <c r="M43" s="257"/>
    </row>
    <row r="44" spans="1:13" ht="20.100000000000001" customHeight="1">
      <c r="A44" s="46" t="s">
        <v>374</v>
      </c>
      <c r="B44" s="52">
        <v>2133</v>
      </c>
      <c r="C44" s="287">
        <v>17384</v>
      </c>
      <c r="D44" s="289">
        <v>18166</v>
      </c>
      <c r="E44" s="289">
        <v>21947</v>
      </c>
      <c r="F44" s="289">
        <v>18166</v>
      </c>
      <c r="G44" s="142">
        <f t="shared" si="3"/>
        <v>-3781</v>
      </c>
      <c r="H44" s="134">
        <f>(F44/E44)*100</f>
        <v>82.772132865539703</v>
      </c>
      <c r="M44" s="257"/>
    </row>
    <row r="45" spans="1:13" ht="20.100000000000001" customHeight="1">
      <c r="A45" s="46" t="s">
        <v>375</v>
      </c>
      <c r="B45" s="52">
        <v>2134</v>
      </c>
      <c r="C45" s="155"/>
      <c r="D45" s="156"/>
      <c r="E45" s="156"/>
      <c r="F45" s="156"/>
      <c r="G45" s="142"/>
      <c r="H45" s="134"/>
      <c r="M45" s="257"/>
    </row>
    <row r="46" spans="1:13" ht="20.100000000000001" customHeight="1">
      <c r="A46" s="70" t="s">
        <v>376</v>
      </c>
      <c r="B46" s="56">
        <v>2140</v>
      </c>
      <c r="C46" s="180">
        <f>SUM(C47:C48)</f>
        <v>0</v>
      </c>
      <c r="D46" s="157">
        <v>0</v>
      </c>
      <c r="E46" s="157">
        <f>SUM(E47:E48)</f>
        <v>0</v>
      </c>
      <c r="F46" s="157">
        <v>0</v>
      </c>
      <c r="G46" s="225"/>
      <c r="H46" s="193" t="e">
        <f t="shared" si="4"/>
        <v>#DIV/0!</v>
      </c>
      <c r="M46" s="257"/>
    </row>
    <row r="47" spans="1:13" ht="37.5">
      <c r="A47" s="46" t="s">
        <v>114</v>
      </c>
      <c r="B47" s="52">
        <v>2141</v>
      </c>
      <c r="C47" s="155"/>
      <c r="D47" s="156"/>
      <c r="E47" s="156"/>
      <c r="F47" s="156"/>
      <c r="G47" s="142"/>
      <c r="H47" s="192" t="e">
        <f t="shared" si="4"/>
        <v>#DIV/0!</v>
      </c>
      <c r="M47" s="257"/>
    </row>
    <row r="48" spans="1:13" s="47" customFormat="1" ht="20.100000000000001" customHeight="1">
      <c r="A48" s="46" t="s">
        <v>377</v>
      </c>
      <c r="B48" s="52">
        <v>2142</v>
      </c>
      <c r="C48" s="155"/>
      <c r="D48" s="156"/>
      <c r="E48" s="156"/>
      <c r="F48" s="156"/>
      <c r="G48" s="142">
        <f>F48-E48</f>
        <v>0</v>
      </c>
      <c r="H48" s="192" t="e">
        <f t="shared" si="4"/>
        <v>#DIV/0!</v>
      </c>
      <c r="M48" s="257"/>
    </row>
    <row r="49" spans="1:13" s="47" customFormat="1" ht="21.75" customHeight="1">
      <c r="A49" s="167" t="s">
        <v>366</v>
      </c>
      <c r="B49" s="169">
        <v>2200</v>
      </c>
      <c r="C49" s="194">
        <f>SUM(C24,C36,C41,C46)</f>
        <v>132708</v>
      </c>
      <c r="D49" s="194">
        <f>D24+D36+D41</f>
        <v>41910</v>
      </c>
      <c r="E49" s="194">
        <f>SUM(E24,E36,E41,E46)</f>
        <v>48399</v>
      </c>
      <c r="F49" s="194">
        <f>F24+F36+F41</f>
        <v>41910</v>
      </c>
      <c r="G49" s="224">
        <f>F49-E49</f>
        <v>-6489</v>
      </c>
      <c r="H49" s="163">
        <f t="shared" si="4"/>
        <v>86.592698196243717</v>
      </c>
      <c r="I49" s="45"/>
      <c r="M49" s="257"/>
    </row>
    <row r="50" spans="1:13" s="47" customFormat="1">
      <c r="A50" s="66"/>
      <c r="B50" s="48"/>
      <c r="C50" s="48"/>
      <c r="D50" s="201"/>
      <c r="E50" s="48"/>
      <c r="F50" s="48"/>
      <c r="G50" s="226"/>
      <c r="H50" s="48"/>
    </row>
    <row r="51" spans="1:13" s="47" customFormat="1">
      <c r="A51" s="66"/>
      <c r="B51" s="48"/>
      <c r="C51" s="48"/>
      <c r="D51" s="48"/>
      <c r="E51" s="48"/>
      <c r="F51" s="48"/>
      <c r="G51" s="226"/>
      <c r="H51" s="48"/>
    </row>
    <row r="52" spans="1:13" s="47" customFormat="1">
      <c r="A52" s="66"/>
      <c r="B52" s="48"/>
      <c r="C52" s="48"/>
      <c r="D52" s="48"/>
      <c r="E52" s="48"/>
      <c r="F52" s="48"/>
      <c r="G52" s="226"/>
      <c r="H52" s="48"/>
    </row>
    <row r="53" spans="1:13" s="3" customFormat="1" ht="27.75" customHeight="1">
      <c r="A53" s="55" t="s">
        <v>597</v>
      </c>
      <c r="B53" s="1"/>
      <c r="C53" s="430" t="s">
        <v>163</v>
      </c>
      <c r="D53" s="430"/>
      <c r="E53" s="79"/>
      <c r="F53" s="391" t="s">
        <v>598</v>
      </c>
      <c r="G53" s="391"/>
      <c r="H53" s="391"/>
    </row>
    <row r="54" spans="1:13" s="2" customFormat="1">
      <c r="A54" s="74"/>
      <c r="B54" s="3"/>
      <c r="C54" s="395" t="s">
        <v>178</v>
      </c>
      <c r="D54" s="395"/>
      <c r="E54" s="3"/>
      <c r="F54" s="428"/>
      <c r="G54" s="428"/>
      <c r="H54" s="428"/>
    </row>
    <row r="55" spans="1:13" s="48" customFormat="1">
      <c r="A55" s="58"/>
      <c r="G55" s="226"/>
      <c r="I55" s="45"/>
      <c r="J55" s="45"/>
    </row>
    <row r="56" spans="1:13" s="48" customFormat="1">
      <c r="A56" s="58"/>
      <c r="G56" s="226"/>
      <c r="I56" s="45"/>
      <c r="J56" s="45"/>
    </row>
    <row r="57" spans="1:13" s="48" customFormat="1">
      <c r="A57" s="58"/>
      <c r="G57" s="226"/>
      <c r="I57" s="45"/>
      <c r="J57" s="45"/>
    </row>
    <row r="58" spans="1:13" s="48" customFormat="1">
      <c r="A58" s="58"/>
      <c r="G58" s="226"/>
      <c r="I58" s="45"/>
      <c r="J58" s="45"/>
    </row>
    <row r="59" spans="1:13" s="48" customFormat="1">
      <c r="A59" s="58"/>
      <c r="G59" s="226"/>
      <c r="I59" s="45"/>
      <c r="J59" s="45"/>
    </row>
    <row r="60" spans="1:13" s="48" customFormat="1">
      <c r="A60" s="58"/>
      <c r="G60" s="226"/>
      <c r="I60" s="45"/>
      <c r="J60" s="45"/>
    </row>
    <row r="61" spans="1:13" s="48" customFormat="1">
      <c r="A61" s="58"/>
      <c r="G61" s="226"/>
      <c r="I61" s="45"/>
      <c r="J61" s="45"/>
    </row>
    <row r="62" spans="1:13" s="48" customFormat="1">
      <c r="A62" s="58"/>
      <c r="G62" s="226"/>
      <c r="I62" s="45"/>
      <c r="J62" s="45"/>
    </row>
    <row r="63" spans="1:13" s="48" customFormat="1">
      <c r="A63" s="58"/>
      <c r="G63" s="226"/>
      <c r="I63" s="45"/>
      <c r="J63" s="45"/>
    </row>
    <row r="64" spans="1:13" s="48" customFormat="1">
      <c r="A64" s="58"/>
      <c r="G64" s="226"/>
      <c r="I64" s="45"/>
      <c r="J64" s="45"/>
    </row>
    <row r="65" spans="1:10" s="48" customFormat="1">
      <c r="A65" s="58"/>
      <c r="G65" s="226"/>
      <c r="I65" s="45"/>
      <c r="J65" s="45"/>
    </row>
    <row r="66" spans="1:10" s="48" customFormat="1">
      <c r="A66" s="58"/>
      <c r="G66" s="226"/>
      <c r="I66" s="45"/>
      <c r="J66" s="45"/>
    </row>
    <row r="67" spans="1:10" s="48" customFormat="1">
      <c r="A67" s="58"/>
      <c r="G67" s="226"/>
      <c r="I67" s="45"/>
      <c r="J67" s="45"/>
    </row>
    <row r="68" spans="1:10" s="48" customFormat="1">
      <c r="A68" s="58"/>
      <c r="G68" s="226"/>
      <c r="I68" s="45"/>
      <c r="J68" s="45"/>
    </row>
    <row r="69" spans="1:10" s="48" customFormat="1">
      <c r="A69" s="58"/>
      <c r="G69" s="226"/>
      <c r="I69" s="45"/>
      <c r="J69" s="45"/>
    </row>
    <row r="70" spans="1:10" s="48" customFormat="1">
      <c r="A70" s="58"/>
      <c r="G70" s="226"/>
      <c r="I70" s="45"/>
      <c r="J70" s="45"/>
    </row>
    <row r="71" spans="1:10" s="48" customFormat="1">
      <c r="A71" s="58"/>
      <c r="G71" s="226"/>
      <c r="I71" s="45"/>
      <c r="J71" s="45"/>
    </row>
    <row r="72" spans="1:10" s="48" customFormat="1">
      <c r="A72" s="58"/>
      <c r="G72" s="226"/>
      <c r="I72" s="45"/>
      <c r="J72" s="45"/>
    </row>
    <row r="73" spans="1:10" s="48" customFormat="1">
      <c r="A73" s="58"/>
      <c r="G73" s="226"/>
      <c r="I73" s="45"/>
      <c r="J73" s="45"/>
    </row>
    <row r="74" spans="1:10" s="48" customFormat="1">
      <c r="A74" s="58"/>
      <c r="G74" s="226"/>
      <c r="I74" s="45"/>
      <c r="J74" s="45"/>
    </row>
    <row r="75" spans="1:10" s="48" customFormat="1">
      <c r="A75" s="58"/>
      <c r="G75" s="226"/>
      <c r="I75" s="45"/>
      <c r="J75" s="45"/>
    </row>
    <row r="76" spans="1:10" s="48" customFormat="1">
      <c r="A76" s="58"/>
      <c r="G76" s="226"/>
      <c r="I76" s="45"/>
      <c r="J76" s="45"/>
    </row>
    <row r="77" spans="1:10" s="48" customFormat="1">
      <c r="A77" s="58"/>
      <c r="G77" s="226"/>
      <c r="I77" s="45"/>
      <c r="J77" s="45"/>
    </row>
    <row r="78" spans="1:10" s="48" customFormat="1">
      <c r="A78" s="58"/>
      <c r="G78" s="226"/>
      <c r="I78" s="45"/>
      <c r="J78" s="45"/>
    </row>
    <row r="79" spans="1:10" s="48" customFormat="1">
      <c r="A79" s="58"/>
      <c r="G79" s="226"/>
      <c r="I79" s="45"/>
      <c r="J79" s="45"/>
    </row>
    <row r="80" spans="1:10" s="48" customFormat="1">
      <c r="A80" s="58"/>
      <c r="G80" s="226"/>
      <c r="I80" s="45"/>
      <c r="J80" s="45"/>
    </row>
    <row r="81" spans="1:10" s="48" customFormat="1">
      <c r="A81" s="58"/>
      <c r="G81" s="226"/>
      <c r="I81" s="45"/>
      <c r="J81" s="45"/>
    </row>
    <row r="82" spans="1:10" s="48" customFormat="1">
      <c r="A82" s="58"/>
      <c r="G82" s="226"/>
      <c r="I82" s="45"/>
      <c r="J82" s="45"/>
    </row>
    <row r="83" spans="1:10" s="48" customFormat="1">
      <c r="A83" s="58"/>
      <c r="G83" s="226"/>
      <c r="I83" s="45"/>
      <c r="J83" s="45"/>
    </row>
    <row r="84" spans="1:10" s="48" customFormat="1">
      <c r="A84" s="58"/>
      <c r="G84" s="226"/>
      <c r="I84" s="45"/>
      <c r="J84" s="45"/>
    </row>
    <row r="85" spans="1:10" s="48" customFormat="1">
      <c r="A85" s="58"/>
      <c r="G85" s="226"/>
      <c r="I85" s="45"/>
      <c r="J85" s="45"/>
    </row>
    <row r="86" spans="1:10" s="48" customFormat="1">
      <c r="A86" s="58"/>
      <c r="G86" s="226"/>
      <c r="I86" s="45"/>
      <c r="J86" s="45"/>
    </row>
    <row r="87" spans="1:10" s="48" customFormat="1">
      <c r="A87" s="58"/>
      <c r="G87" s="226"/>
      <c r="I87" s="45"/>
      <c r="J87" s="45"/>
    </row>
    <row r="88" spans="1:10" s="48" customFormat="1">
      <c r="A88" s="58"/>
      <c r="G88" s="226"/>
      <c r="I88" s="45"/>
      <c r="J88" s="45"/>
    </row>
    <row r="89" spans="1:10" s="48" customFormat="1">
      <c r="A89" s="58"/>
      <c r="G89" s="226"/>
      <c r="I89" s="45"/>
      <c r="J89" s="45"/>
    </row>
    <row r="90" spans="1:10" s="48" customFormat="1">
      <c r="A90" s="58"/>
      <c r="G90" s="226"/>
      <c r="I90" s="45"/>
      <c r="J90" s="45"/>
    </row>
    <row r="91" spans="1:10" s="48" customFormat="1">
      <c r="A91" s="58"/>
      <c r="G91" s="226"/>
      <c r="I91" s="45"/>
      <c r="J91" s="45"/>
    </row>
    <row r="92" spans="1:10" s="48" customFormat="1">
      <c r="A92" s="58"/>
      <c r="G92" s="226"/>
      <c r="I92" s="45"/>
      <c r="J92" s="45"/>
    </row>
    <row r="93" spans="1:10" s="48" customFormat="1">
      <c r="A93" s="58"/>
      <c r="G93" s="226"/>
      <c r="I93" s="45"/>
      <c r="J93" s="45"/>
    </row>
    <row r="94" spans="1:10" s="48" customFormat="1">
      <c r="A94" s="58"/>
      <c r="G94" s="226"/>
      <c r="I94" s="45"/>
      <c r="J94" s="45"/>
    </row>
    <row r="95" spans="1:10" s="48" customFormat="1">
      <c r="A95" s="58"/>
      <c r="G95" s="226"/>
      <c r="I95" s="45"/>
      <c r="J95" s="45"/>
    </row>
    <row r="96" spans="1:10" s="48" customFormat="1">
      <c r="A96" s="58"/>
      <c r="G96" s="226"/>
      <c r="I96" s="45"/>
      <c r="J96" s="45"/>
    </row>
    <row r="97" spans="1:10" s="48" customFormat="1">
      <c r="A97" s="58"/>
      <c r="G97" s="226"/>
      <c r="I97" s="45"/>
      <c r="J97" s="45"/>
    </row>
    <row r="98" spans="1:10" s="48" customFormat="1">
      <c r="A98" s="58"/>
      <c r="G98" s="226"/>
      <c r="I98" s="45"/>
      <c r="J98" s="45"/>
    </row>
    <row r="99" spans="1:10" s="48" customFormat="1">
      <c r="A99" s="58"/>
      <c r="G99" s="226"/>
      <c r="I99" s="45"/>
      <c r="J99" s="45"/>
    </row>
    <row r="100" spans="1:10" s="48" customFormat="1">
      <c r="A100" s="58"/>
      <c r="G100" s="226"/>
      <c r="I100" s="45"/>
      <c r="J100" s="45"/>
    </row>
    <row r="101" spans="1:10" s="48" customFormat="1">
      <c r="A101" s="58"/>
      <c r="G101" s="226"/>
      <c r="I101" s="45"/>
      <c r="J101" s="45"/>
    </row>
    <row r="102" spans="1:10" s="48" customFormat="1">
      <c r="A102" s="58"/>
      <c r="G102" s="226"/>
      <c r="I102" s="45"/>
      <c r="J102" s="45"/>
    </row>
    <row r="103" spans="1:10" s="48" customFormat="1">
      <c r="A103" s="58"/>
      <c r="G103" s="226"/>
      <c r="I103" s="45"/>
      <c r="J103" s="45"/>
    </row>
    <row r="104" spans="1:10" s="48" customFormat="1">
      <c r="A104" s="58"/>
      <c r="G104" s="226"/>
      <c r="I104" s="45"/>
      <c r="J104" s="45"/>
    </row>
    <row r="105" spans="1:10" s="48" customFormat="1">
      <c r="A105" s="58"/>
      <c r="G105" s="226"/>
      <c r="I105" s="45"/>
      <c r="J105" s="45"/>
    </row>
    <row r="106" spans="1:10" s="48" customFormat="1">
      <c r="A106" s="58"/>
      <c r="G106" s="226"/>
      <c r="I106" s="45"/>
      <c r="J106" s="45"/>
    </row>
    <row r="107" spans="1:10" s="48" customFormat="1">
      <c r="A107" s="58"/>
      <c r="G107" s="226"/>
      <c r="I107" s="45"/>
      <c r="J107" s="45"/>
    </row>
    <row r="108" spans="1:10" s="48" customFormat="1">
      <c r="A108" s="58"/>
      <c r="G108" s="226"/>
      <c r="I108" s="45"/>
      <c r="J108" s="45"/>
    </row>
    <row r="109" spans="1:10" s="48" customFormat="1">
      <c r="A109" s="58"/>
      <c r="G109" s="226"/>
      <c r="I109" s="45"/>
      <c r="J109" s="45"/>
    </row>
    <row r="110" spans="1:10" s="48" customFormat="1">
      <c r="A110" s="58"/>
      <c r="G110" s="226"/>
      <c r="I110" s="45"/>
      <c r="J110" s="45"/>
    </row>
    <row r="111" spans="1:10" s="48" customFormat="1">
      <c r="A111" s="58"/>
      <c r="G111" s="226"/>
      <c r="I111" s="45"/>
      <c r="J111" s="45"/>
    </row>
    <row r="112" spans="1:10" s="48" customFormat="1">
      <c r="A112" s="58"/>
      <c r="G112" s="226"/>
      <c r="I112" s="45"/>
      <c r="J112" s="45"/>
    </row>
    <row r="113" spans="1:10" s="48" customFormat="1">
      <c r="A113" s="58"/>
      <c r="G113" s="226"/>
      <c r="I113" s="45"/>
      <c r="J113" s="45"/>
    </row>
    <row r="114" spans="1:10" s="48" customFormat="1">
      <c r="A114" s="58"/>
      <c r="G114" s="226"/>
      <c r="I114" s="45"/>
      <c r="J114" s="45"/>
    </row>
    <row r="115" spans="1:10" s="48" customFormat="1">
      <c r="A115" s="58"/>
      <c r="G115" s="226"/>
      <c r="I115" s="45"/>
      <c r="J115" s="45"/>
    </row>
    <row r="116" spans="1:10" s="48" customFormat="1">
      <c r="A116" s="58"/>
      <c r="G116" s="226"/>
      <c r="I116" s="45"/>
      <c r="J116" s="45"/>
    </row>
    <row r="117" spans="1:10" s="48" customFormat="1">
      <c r="A117" s="58"/>
      <c r="G117" s="226"/>
      <c r="I117" s="45"/>
      <c r="J117" s="45"/>
    </row>
    <row r="118" spans="1:10" s="48" customFormat="1">
      <c r="A118" s="58"/>
      <c r="G118" s="226"/>
      <c r="I118" s="45"/>
      <c r="J118" s="45"/>
    </row>
    <row r="119" spans="1:10" s="48" customFormat="1">
      <c r="A119" s="58"/>
      <c r="G119" s="226"/>
      <c r="I119" s="45"/>
      <c r="J119" s="45"/>
    </row>
    <row r="120" spans="1:10" s="48" customFormat="1">
      <c r="A120" s="58"/>
      <c r="G120" s="226"/>
      <c r="I120" s="45"/>
      <c r="J120" s="45"/>
    </row>
    <row r="121" spans="1:10" s="48" customFormat="1">
      <c r="A121" s="58"/>
      <c r="G121" s="226"/>
      <c r="I121" s="45"/>
      <c r="J121" s="45"/>
    </row>
    <row r="122" spans="1:10" s="48" customFormat="1">
      <c r="A122" s="58"/>
      <c r="G122" s="226"/>
      <c r="I122" s="45"/>
      <c r="J122" s="45"/>
    </row>
    <row r="123" spans="1:10" s="48" customFormat="1">
      <c r="A123" s="58"/>
      <c r="G123" s="226"/>
      <c r="I123" s="45"/>
      <c r="J123" s="45"/>
    </row>
    <row r="124" spans="1:10" s="48" customFormat="1">
      <c r="A124" s="58"/>
      <c r="G124" s="226"/>
      <c r="I124" s="45"/>
      <c r="J124" s="45"/>
    </row>
    <row r="125" spans="1:10" s="48" customFormat="1">
      <c r="A125" s="58"/>
      <c r="G125" s="226"/>
      <c r="I125" s="45"/>
      <c r="J125" s="45"/>
    </row>
    <row r="126" spans="1:10" s="48" customFormat="1">
      <c r="A126" s="58"/>
      <c r="G126" s="226"/>
      <c r="I126" s="45"/>
      <c r="J126" s="45"/>
    </row>
    <row r="127" spans="1:10" s="48" customFormat="1">
      <c r="A127" s="58"/>
      <c r="G127" s="226"/>
      <c r="I127" s="45"/>
      <c r="J127" s="45"/>
    </row>
    <row r="128" spans="1:10" s="48" customFormat="1">
      <c r="A128" s="58"/>
      <c r="G128" s="226"/>
      <c r="I128" s="45"/>
      <c r="J128" s="45"/>
    </row>
    <row r="129" spans="1:10" s="48" customFormat="1">
      <c r="A129" s="58"/>
      <c r="G129" s="226"/>
      <c r="I129" s="45"/>
      <c r="J129" s="45"/>
    </row>
    <row r="130" spans="1:10" s="48" customFormat="1">
      <c r="A130" s="58"/>
      <c r="G130" s="226"/>
      <c r="I130" s="45"/>
      <c r="J130" s="45"/>
    </row>
    <row r="131" spans="1:10" s="48" customFormat="1">
      <c r="A131" s="58"/>
      <c r="G131" s="226"/>
      <c r="I131" s="45"/>
      <c r="J131" s="45"/>
    </row>
    <row r="132" spans="1:10" s="48" customFormat="1">
      <c r="A132" s="58"/>
      <c r="G132" s="226"/>
      <c r="I132" s="45"/>
      <c r="J132" s="45"/>
    </row>
    <row r="133" spans="1:10" s="48" customFormat="1">
      <c r="A133" s="58"/>
      <c r="G133" s="226"/>
      <c r="I133" s="45"/>
      <c r="J133" s="45"/>
    </row>
    <row r="134" spans="1:10" s="48" customFormat="1">
      <c r="A134" s="58"/>
      <c r="G134" s="226"/>
      <c r="I134" s="45"/>
      <c r="J134" s="45"/>
    </row>
    <row r="135" spans="1:10" s="48" customFormat="1">
      <c r="A135" s="58"/>
      <c r="G135" s="226"/>
      <c r="I135" s="45"/>
      <c r="J135" s="45"/>
    </row>
    <row r="136" spans="1:10" s="48" customFormat="1">
      <c r="A136" s="58"/>
      <c r="G136" s="226"/>
      <c r="I136" s="45"/>
      <c r="J136" s="45"/>
    </row>
    <row r="137" spans="1:10" s="48" customFormat="1">
      <c r="A137" s="58"/>
      <c r="G137" s="226"/>
      <c r="I137" s="45"/>
      <c r="J137" s="45"/>
    </row>
    <row r="138" spans="1:10" s="48" customFormat="1">
      <c r="A138" s="58"/>
      <c r="G138" s="226"/>
      <c r="I138" s="45"/>
      <c r="J138" s="45"/>
    </row>
    <row r="139" spans="1:10" s="48" customFormat="1">
      <c r="A139" s="58"/>
      <c r="G139" s="226"/>
      <c r="I139" s="45"/>
      <c r="J139" s="45"/>
    </row>
    <row r="140" spans="1:10" s="48" customFormat="1">
      <c r="A140" s="58"/>
      <c r="G140" s="226"/>
      <c r="I140" s="45"/>
      <c r="J140" s="45"/>
    </row>
    <row r="141" spans="1:10" s="48" customFormat="1">
      <c r="A141" s="58"/>
      <c r="G141" s="226"/>
      <c r="I141" s="45"/>
      <c r="J141" s="45"/>
    </row>
    <row r="142" spans="1:10" s="48" customFormat="1">
      <c r="A142" s="58"/>
      <c r="G142" s="226"/>
      <c r="I142" s="45"/>
      <c r="J142" s="45"/>
    </row>
    <row r="143" spans="1:10" s="48" customFormat="1">
      <c r="A143" s="58"/>
      <c r="G143" s="226"/>
      <c r="I143" s="45"/>
      <c r="J143" s="45"/>
    </row>
    <row r="144" spans="1:10" s="48" customFormat="1">
      <c r="A144" s="58"/>
      <c r="G144" s="226"/>
      <c r="I144" s="45"/>
      <c r="J144" s="45"/>
    </row>
    <row r="145" spans="1:10" s="48" customFormat="1">
      <c r="A145" s="58"/>
      <c r="G145" s="226"/>
      <c r="I145" s="45"/>
      <c r="J145" s="45"/>
    </row>
    <row r="146" spans="1:10" s="48" customFormat="1">
      <c r="A146" s="58"/>
      <c r="G146" s="226"/>
      <c r="I146" s="45"/>
      <c r="J146" s="45"/>
    </row>
    <row r="147" spans="1:10" s="48" customFormat="1">
      <c r="A147" s="58"/>
      <c r="G147" s="226"/>
      <c r="I147" s="45"/>
      <c r="J147" s="45"/>
    </row>
    <row r="148" spans="1:10" s="48" customFormat="1">
      <c r="A148" s="58"/>
      <c r="G148" s="226"/>
      <c r="I148" s="45"/>
      <c r="J148" s="45"/>
    </row>
    <row r="149" spans="1:10" s="48" customFormat="1">
      <c r="A149" s="58"/>
      <c r="G149" s="226"/>
      <c r="I149" s="45"/>
      <c r="J149" s="45"/>
    </row>
    <row r="150" spans="1:10" s="48" customFormat="1">
      <c r="A150" s="58"/>
      <c r="G150" s="226"/>
      <c r="I150" s="45"/>
      <c r="J150" s="45"/>
    </row>
    <row r="151" spans="1:10" s="48" customFormat="1">
      <c r="A151" s="58"/>
      <c r="G151" s="226"/>
      <c r="I151" s="45"/>
      <c r="J151" s="45"/>
    </row>
    <row r="152" spans="1:10" s="48" customFormat="1">
      <c r="A152" s="58"/>
      <c r="G152" s="226"/>
      <c r="I152" s="45"/>
      <c r="J152" s="45"/>
    </row>
    <row r="153" spans="1:10" s="48" customFormat="1">
      <c r="A153" s="58"/>
      <c r="G153" s="226"/>
      <c r="I153" s="45"/>
      <c r="J153" s="45"/>
    </row>
    <row r="154" spans="1:10" s="48" customFormat="1">
      <c r="A154" s="58"/>
      <c r="G154" s="226"/>
      <c r="I154" s="45"/>
      <c r="J154" s="45"/>
    </row>
    <row r="155" spans="1:10" s="48" customFormat="1">
      <c r="A155" s="58"/>
      <c r="G155" s="226"/>
      <c r="I155" s="45"/>
      <c r="J155" s="45"/>
    </row>
    <row r="156" spans="1:10" s="48" customFormat="1">
      <c r="A156" s="58"/>
      <c r="G156" s="226"/>
      <c r="I156" s="45"/>
      <c r="J156" s="45"/>
    </row>
    <row r="157" spans="1:10" s="48" customFormat="1">
      <c r="A157" s="58"/>
      <c r="G157" s="226"/>
      <c r="I157" s="45"/>
      <c r="J157" s="45"/>
    </row>
    <row r="158" spans="1:10" s="48" customFormat="1">
      <c r="A158" s="58"/>
      <c r="G158" s="226"/>
      <c r="I158" s="45"/>
      <c r="J158" s="45"/>
    </row>
    <row r="159" spans="1:10" s="48" customFormat="1">
      <c r="A159" s="58"/>
      <c r="G159" s="226"/>
      <c r="I159" s="45"/>
      <c r="J159" s="45"/>
    </row>
    <row r="160" spans="1:10" s="48" customFormat="1">
      <c r="A160" s="58"/>
      <c r="G160" s="226"/>
      <c r="I160" s="45"/>
      <c r="J160" s="45"/>
    </row>
    <row r="161" spans="1:10" s="48" customFormat="1">
      <c r="A161" s="58"/>
      <c r="G161" s="226"/>
      <c r="I161" s="45"/>
      <c r="J161" s="45"/>
    </row>
    <row r="162" spans="1:10" s="48" customFormat="1">
      <c r="A162" s="58"/>
      <c r="G162" s="226"/>
      <c r="I162" s="45"/>
      <c r="J162" s="45"/>
    </row>
    <row r="163" spans="1:10" s="48" customFormat="1">
      <c r="A163" s="58"/>
      <c r="G163" s="226"/>
      <c r="I163" s="45"/>
      <c r="J163" s="45"/>
    </row>
    <row r="164" spans="1:10" s="48" customFormat="1">
      <c r="A164" s="58"/>
      <c r="G164" s="226"/>
      <c r="I164" s="45"/>
      <c r="J164" s="45"/>
    </row>
    <row r="165" spans="1:10" s="48" customFormat="1">
      <c r="A165" s="58"/>
      <c r="G165" s="226"/>
      <c r="I165" s="45"/>
      <c r="J165" s="45"/>
    </row>
    <row r="166" spans="1:10" s="48" customFormat="1">
      <c r="A166" s="58"/>
      <c r="G166" s="226"/>
      <c r="I166" s="45"/>
      <c r="J166" s="45"/>
    </row>
    <row r="167" spans="1:10" s="48" customFormat="1">
      <c r="A167" s="58"/>
      <c r="G167" s="226"/>
      <c r="I167" s="45"/>
      <c r="J167" s="45"/>
    </row>
    <row r="168" spans="1:10" s="48" customFormat="1">
      <c r="A168" s="58"/>
      <c r="G168" s="226"/>
      <c r="I168" s="45"/>
      <c r="J168" s="45"/>
    </row>
    <row r="169" spans="1:10" s="48" customFormat="1">
      <c r="A169" s="58"/>
      <c r="G169" s="226"/>
      <c r="I169" s="45"/>
      <c r="J169" s="45"/>
    </row>
    <row r="170" spans="1:10" s="48" customFormat="1">
      <c r="A170" s="58"/>
      <c r="G170" s="226"/>
      <c r="I170" s="45"/>
      <c r="J170" s="45"/>
    </row>
    <row r="171" spans="1:10" s="48" customFormat="1">
      <c r="A171" s="58"/>
      <c r="G171" s="226"/>
      <c r="I171" s="45"/>
      <c r="J171" s="45"/>
    </row>
    <row r="172" spans="1:10" s="48" customFormat="1">
      <c r="A172" s="58"/>
      <c r="G172" s="226"/>
      <c r="I172" s="45"/>
      <c r="J172" s="45"/>
    </row>
    <row r="173" spans="1:10" s="48" customFormat="1">
      <c r="A173" s="58"/>
      <c r="G173" s="226"/>
      <c r="I173" s="45"/>
      <c r="J173" s="45"/>
    </row>
    <row r="174" spans="1:10" s="48" customFormat="1">
      <c r="A174" s="58"/>
      <c r="G174" s="226"/>
      <c r="I174" s="45"/>
      <c r="J174" s="45"/>
    </row>
    <row r="175" spans="1:10" s="48" customFormat="1">
      <c r="A175" s="58"/>
      <c r="G175" s="226"/>
      <c r="I175" s="45"/>
      <c r="J175" s="45"/>
    </row>
    <row r="176" spans="1:10" s="48" customFormat="1">
      <c r="A176" s="58"/>
      <c r="G176" s="226"/>
      <c r="I176" s="45"/>
      <c r="J176" s="45"/>
    </row>
    <row r="177" spans="1:10" s="48" customFormat="1">
      <c r="A177" s="58"/>
      <c r="G177" s="226"/>
      <c r="I177" s="45"/>
      <c r="J177" s="45"/>
    </row>
    <row r="178" spans="1:10" s="48" customFormat="1">
      <c r="A178" s="58"/>
      <c r="G178" s="226"/>
      <c r="I178" s="45"/>
      <c r="J178" s="45"/>
    </row>
    <row r="179" spans="1:10" s="48" customFormat="1">
      <c r="A179" s="58"/>
      <c r="G179" s="226"/>
      <c r="I179" s="45"/>
      <c r="J179" s="45"/>
    </row>
    <row r="180" spans="1:10" s="48" customFormat="1">
      <c r="A180" s="58"/>
      <c r="G180" s="226"/>
      <c r="I180" s="45"/>
      <c r="J180" s="45"/>
    </row>
    <row r="181" spans="1:10" s="48" customFormat="1">
      <c r="A181" s="58"/>
      <c r="G181" s="226"/>
      <c r="I181" s="45"/>
      <c r="J181" s="45"/>
    </row>
    <row r="182" spans="1:10" s="48" customFormat="1">
      <c r="A182" s="58"/>
      <c r="G182" s="226"/>
      <c r="I182" s="45"/>
      <c r="J182" s="45"/>
    </row>
    <row r="183" spans="1:10" s="48" customFormat="1">
      <c r="A183" s="58"/>
      <c r="G183" s="226"/>
      <c r="I183" s="45"/>
      <c r="J183" s="45"/>
    </row>
    <row r="184" spans="1:10" s="48" customFormat="1">
      <c r="A184" s="58"/>
      <c r="G184" s="226"/>
      <c r="I184" s="45"/>
      <c r="J184" s="45"/>
    </row>
    <row r="185" spans="1:10" s="48" customFormat="1">
      <c r="A185" s="58"/>
      <c r="G185" s="226"/>
      <c r="I185" s="45"/>
      <c r="J185" s="45"/>
    </row>
    <row r="186" spans="1:10" s="48" customFormat="1">
      <c r="A186" s="58"/>
      <c r="G186" s="226"/>
      <c r="I186" s="45"/>
      <c r="J186" s="45"/>
    </row>
    <row r="187" spans="1:10" s="48" customFormat="1">
      <c r="A187" s="58"/>
      <c r="G187" s="226"/>
      <c r="I187" s="45"/>
      <c r="J187" s="45"/>
    </row>
    <row r="188" spans="1:10" s="48" customFormat="1">
      <c r="A188" s="58"/>
      <c r="G188" s="226"/>
      <c r="I188" s="45"/>
      <c r="J188" s="45"/>
    </row>
    <row r="189" spans="1:10" s="48" customFormat="1">
      <c r="A189" s="58"/>
      <c r="G189" s="226"/>
      <c r="I189" s="45"/>
      <c r="J189" s="45"/>
    </row>
    <row r="190" spans="1:10" s="48" customFormat="1">
      <c r="A190" s="58"/>
      <c r="G190" s="226"/>
      <c r="I190" s="45"/>
      <c r="J190" s="45"/>
    </row>
    <row r="191" spans="1:10" s="48" customFormat="1">
      <c r="A191" s="58"/>
      <c r="G191" s="226"/>
      <c r="I191" s="45"/>
      <c r="J191" s="45"/>
    </row>
    <row r="192" spans="1:10" s="48" customFormat="1">
      <c r="A192" s="58"/>
      <c r="G192" s="226"/>
      <c r="I192" s="45"/>
      <c r="J192" s="45"/>
    </row>
    <row r="193" spans="1:10" s="48" customFormat="1">
      <c r="A193" s="58"/>
      <c r="G193" s="226"/>
      <c r="I193" s="45"/>
      <c r="J193" s="45"/>
    </row>
    <row r="194" spans="1:10" s="48" customFormat="1">
      <c r="A194" s="58"/>
      <c r="G194" s="226"/>
      <c r="I194" s="45"/>
      <c r="J194" s="45"/>
    </row>
    <row r="195" spans="1:10" s="48" customFormat="1">
      <c r="A195" s="58"/>
      <c r="G195" s="226"/>
      <c r="I195" s="45"/>
      <c r="J195" s="45"/>
    </row>
    <row r="196" spans="1:10" s="48" customFormat="1">
      <c r="A196" s="58"/>
      <c r="G196" s="226"/>
      <c r="I196" s="45"/>
      <c r="J196" s="45"/>
    </row>
    <row r="197" spans="1:10" s="48" customFormat="1">
      <c r="A197" s="58"/>
      <c r="G197" s="226"/>
      <c r="I197" s="45"/>
      <c r="J197" s="45"/>
    </row>
    <row r="198" spans="1:10" s="48" customFormat="1">
      <c r="A198" s="58"/>
      <c r="G198" s="226"/>
      <c r="I198" s="45"/>
      <c r="J198" s="45"/>
    </row>
    <row r="199" spans="1:10" s="48" customFormat="1">
      <c r="A199" s="58"/>
      <c r="G199" s="226"/>
      <c r="I199" s="45"/>
      <c r="J199" s="45"/>
    </row>
    <row r="200" spans="1:10" s="48" customFormat="1">
      <c r="A200" s="58"/>
      <c r="G200" s="226"/>
      <c r="I200" s="45"/>
      <c r="J200" s="45"/>
    </row>
    <row r="201" spans="1:10" s="48" customFormat="1">
      <c r="A201" s="58"/>
      <c r="G201" s="226"/>
      <c r="I201" s="45"/>
      <c r="J201" s="45"/>
    </row>
    <row r="202" spans="1:10" s="48" customFormat="1">
      <c r="A202" s="58"/>
      <c r="G202" s="226"/>
      <c r="I202" s="45"/>
      <c r="J202" s="45"/>
    </row>
    <row r="203" spans="1:10" s="48" customFormat="1">
      <c r="A203" s="58"/>
      <c r="G203" s="226"/>
      <c r="I203" s="45"/>
      <c r="J203" s="45"/>
    </row>
    <row r="204" spans="1:10" s="48" customFormat="1">
      <c r="A204" s="58"/>
      <c r="G204" s="226"/>
      <c r="I204" s="45"/>
      <c r="J204" s="45"/>
    </row>
  </sheetData>
  <mergeCells count="12">
    <mergeCell ref="C3:D3"/>
    <mergeCell ref="E3:H3"/>
    <mergeCell ref="A1:H1"/>
    <mergeCell ref="C54:D54"/>
    <mergeCell ref="F54:H54"/>
    <mergeCell ref="A6:H6"/>
    <mergeCell ref="A23:H23"/>
    <mergeCell ref="C53:D53"/>
    <mergeCell ref="F53:H53"/>
    <mergeCell ref="A2:H2"/>
    <mergeCell ref="A3:A4"/>
    <mergeCell ref="B3:B4"/>
  </mergeCells>
  <phoneticPr fontId="4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r:id="rId1"/>
  <headerFooter alignWithMargins="0">
    <oddHeader>&amp;C
7&amp;R
&amp;"Times New Roman,обычный"&amp;14Продовження додатка 3
Таблиця 2</oddHeader>
  </headerFooter>
  <ignoredErrors>
    <ignoredError sqref="G29 H22 H36:H37 G27 H25:H28 H7:H16 G8:G16 H41:H43 H46:H49 H30:H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F41"/>
    <pageSetUpPr fitToPage="1"/>
  </sheetPr>
  <dimension ref="A1:H154"/>
  <sheetViews>
    <sheetView zoomScale="85" zoomScaleNormal="85" zoomScaleSheetLayoutView="75" workbookViewId="0">
      <pane xSplit="1" ySplit="7" topLeftCell="B44" activePane="bottomRight" state="frozen"/>
      <selection activeCell="L67" sqref="L67:M67"/>
      <selection pane="topRight" activeCell="L67" sqref="L67:M67"/>
      <selection pane="bottomLeft" activeCell="L67" sqref="L67:M67"/>
      <selection pane="bottomRight" activeCell="C55" sqref="C55"/>
    </sheetView>
  </sheetViews>
  <sheetFormatPr defaultRowHeight="18.75"/>
  <cols>
    <col min="1" max="1" width="88" style="2" customWidth="1"/>
    <col min="2" max="2" width="15" style="2" customWidth="1"/>
    <col min="3" max="6" width="20.42578125" style="2" customWidth="1"/>
    <col min="7" max="7" width="20.42578125" style="30" customWidth="1"/>
    <col min="8" max="8" width="18.42578125" style="2" customWidth="1"/>
    <col min="9" max="10" width="9.140625" style="2"/>
    <col min="11" max="11" width="16.5703125" style="2" bestFit="1" customWidth="1"/>
    <col min="12" max="16384" width="9.140625" style="2"/>
  </cols>
  <sheetData>
    <row r="1" spans="1:8">
      <c r="A1" s="391" t="s">
        <v>279</v>
      </c>
      <c r="B1" s="391"/>
      <c r="C1" s="391"/>
      <c r="D1" s="391"/>
      <c r="E1" s="391"/>
      <c r="F1" s="391"/>
      <c r="G1" s="391"/>
      <c r="H1" s="391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>
      <c r="A3" s="13"/>
      <c r="B3" s="13"/>
      <c r="C3" s="13"/>
      <c r="D3" s="13"/>
      <c r="E3" s="269"/>
      <c r="F3" s="13"/>
      <c r="G3" s="13"/>
      <c r="H3" s="13"/>
    </row>
    <row r="4" spans="1:8">
      <c r="A4" s="22"/>
      <c r="B4" s="22"/>
      <c r="C4" s="22"/>
      <c r="D4" s="22"/>
      <c r="E4" s="22"/>
      <c r="F4" s="22"/>
      <c r="G4" s="213"/>
      <c r="H4" s="22"/>
    </row>
    <row r="5" spans="1:8">
      <c r="A5" s="389" t="s">
        <v>194</v>
      </c>
      <c r="B5" s="432" t="s">
        <v>0</v>
      </c>
      <c r="C5" s="389" t="s">
        <v>342</v>
      </c>
      <c r="D5" s="389"/>
      <c r="E5" s="433" t="s">
        <v>675</v>
      </c>
      <c r="F5" s="434"/>
      <c r="G5" s="434"/>
      <c r="H5" s="435"/>
    </row>
    <row r="6" spans="1:8">
      <c r="A6" s="389"/>
      <c r="B6" s="432"/>
      <c r="C6" s="7" t="s">
        <v>182</v>
      </c>
      <c r="D6" s="333" t="s">
        <v>183</v>
      </c>
      <c r="E6" s="7" t="s">
        <v>184</v>
      </c>
      <c r="F6" s="7" t="s">
        <v>170</v>
      </c>
      <c r="G6" s="214" t="s">
        <v>189</v>
      </c>
      <c r="H6" s="69" t="s">
        <v>190</v>
      </c>
    </row>
    <row r="7" spans="1:8">
      <c r="A7" s="69">
        <v>1</v>
      </c>
      <c r="B7" s="123">
        <v>2</v>
      </c>
      <c r="C7" s="69">
        <v>3</v>
      </c>
      <c r="D7" s="336">
        <v>4</v>
      </c>
      <c r="E7" s="69">
        <v>5</v>
      </c>
      <c r="F7" s="123">
        <v>6</v>
      </c>
      <c r="G7" s="212">
        <v>7</v>
      </c>
      <c r="H7" s="123">
        <v>8</v>
      </c>
    </row>
    <row r="8" spans="1:8">
      <c r="A8" s="170" t="s">
        <v>290</v>
      </c>
      <c r="B8" s="124"/>
      <c r="C8" s="124"/>
      <c r="D8" s="124"/>
      <c r="E8" s="124"/>
      <c r="F8" s="124"/>
      <c r="G8" s="215"/>
      <c r="H8" s="125"/>
    </row>
    <row r="9" spans="1:8" s="57" customFormat="1">
      <c r="A9" s="171" t="s">
        <v>258</v>
      </c>
      <c r="B9" s="172">
        <v>3000</v>
      </c>
      <c r="C9" s="196">
        <f>SUM(C10:C15,C19)-C12</f>
        <v>296841</v>
      </c>
      <c r="D9" s="157">
        <f>SUM(D10:D15,D19)</f>
        <v>190336</v>
      </c>
      <c r="E9" s="197">
        <f>SUM(E10:E15,E19)</f>
        <v>304107</v>
      </c>
      <c r="F9" s="197">
        <f>SUM(F10:F15,F19)</f>
        <v>190336</v>
      </c>
      <c r="G9" s="216">
        <f t="shared" ref="G9:G20" si="0">F9-E9</f>
        <v>-113771</v>
      </c>
      <c r="H9" s="166">
        <f t="shared" ref="H9:H20" si="1">(F9/E9)*100</f>
        <v>62.588496811977365</v>
      </c>
    </row>
    <row r="10" spans="1:8">
      <c r="A10" s="8" t="s">
        <v>399</v>
      </c>
      <c r="B10" s="9">
        <v>3010</v>
      </c>
      <c r="C10" s="155">
        <v>3729</v>
      </c>
      <c r="D10" s="156">
        <f>F10</f>
        <v>766</v>
      </c>
      <c r="E10" s="156">
        <v>578</v>
      </c>
      <c r="F10" s="156">
        <v>766</v>
      </c>
      <c r="G10" s="217">
        <f t="shared" si="0"/>
        <v>188</v>
      </c>
      <c r="H10" s="134">
        <f t="shared" si="1"/>
        <v>132.52595155709344</v>
      </c>
    </row>
    <row r="11" spans="1:8">
      <c r="A11" s="8" t="s">
        <v>280</v>
      </c>
      <c r="B11" s="9">
        <v>3020</v>
      </c>
      <c r="C11" s="155">
        <f>C12</f>
        <v>21715</v>
      </c>
      <c r="D11" s="156">
        <f t="shared" ref="D11:D18" si="2">F11</f>
        <v>0</v>
      </c>
      <c r="E11" s="156">
        <v>0</v>
      </c>
      <c r="F11" s="156"/>
      <c r="G11" s="217">
        <f t="shared" si="0"/>
        <v>0</v>
      </c>
      <c r="H11" s="134" t="e">
        <f t="shared" si="1"/>
        <v>#DIV/0!</v>
      </c>
    </row>
    <row r="12" spans="1:8">
      <c r="A12" s="8" t="s">
        <v>281</v>
      </c>
      <c r="B12" s="9">
        <v>3021</v>
      </c>
      <c r="C12" s="155">
        <v>21715</v>
      </c>
      <c r="D12" s="156">
        <f t="shared" si="2"/>
        <v>0</v>
      </c>
      <c r="E12" s="156"/>
      <c r="F12" s="156"/>
      <c r="G12" s="217">
        <f t="shared" si="0"/>
        <v>0</v>
      </c>
      <c r="H12" s="134" t="e">
        <f t="shared" si="1"/>
        <v>#DIV/0!</v>
      </c>
    </row>
    <row r="13" spans="1:8">
      <c r="A13" s="8" t="s">
        <v>577</v>
      </c>
      <c r="B13" s="9">
        <v>3030</v>
      </c>
      <c r="C13" s="155">
        <v>848</v>
      </c>
      <c r="D13" s="156">
        <f t="shared" si="2"/>
        <v>1101</v>
      </c>
      <c r="E13" s="156">
        <v>400</v>
      </c>
      <c r="F13" s="156">
        <v>1101</v>
      </c>
      <c r="G13" s="217">
        <f t="shared" si="0"/>
        <v>701</v>
      </c>
      <c r="H13" s="134">
        <f t="shared" si="1"/>
        <v>275.25</v>
      </c>
    </row>
    <row r="14" spans="1:8">
      <c r="A14" s="8" t="s">
        <v>259</v>
      </c>
      <c r="B14" s="9">
        <v>3040</v>
      </c>
      <c r="C14" s="155">
        <v>159</v>
      </c>
      <c r="D14" s="156">
        <f t="shared" si="2"/>
        <v>297</v>
      </c>
      <c r="E14" s="156"/>
      <c r="F14" s="156">
        <v>297</v>
      </c>
      <c r="G14" s="217">
        <f t="shared" si="0"/>
        <v>297</v>
      </c>
      <c r="H14" s="134" t="e">
        <f t="shared" si="1"/>
        <v>#DIV/0!</v>
      </c>
    </row>
    <row r="15" spans="1:8">
      <c r="A15" s="8" t="s">
        <v>85</v>
      </c>
      <c r="B15" s="9">
        <v>3050</v>
      </c>
      <c r="C15" s="155">
        <f>SUM(C16:C18)</f>
        <v>0</v>
      </c>
      <c r="D15" s="156">
        <f t="shared" si="2"/>
        <v>0</v>
      </c>
      <c r="E15" s="156">
        <f>SUM(E16:E18)</f>
        <v>0</v>
      </c>
      <c r="F15" s="156"/>
      <c r="G15" s="217">
        <f t="shared" si="0"/>
        <v>0</v>
      </c>
      <c r="H15" s="192" t="e">
        <f t="shared" si="1"/>
        <v>#DIV/0!</v>
      </c>
    </row>
    <row r="16" spans="1:8">
      <c r="A16" s="8" t="s">
        <v>83</v>
      </c>
      <c r="B16" s="6">
        <v>3051</v>
      </c>
      <c r="C16" s="155"/>
      <c r="D16" s="156">
        <f t="shared" si="2"/>
        <v>0</v>
      </c>
      <c r="E16" s="156"/>
      <c r="F16" s="156"/>
      <c r="G16" s="217">
        <f t="shared" si="0"/>
        <v>0</v>
      </c>
      <c r="H16" s="192" t="e">
        <f t="shared" si="1"/>
        <v>#DIV/0!</v>
      </c>
    </row>
    <row r="17" spans="1:8">
      <c r="A17" s="8" t="s">
        <v>86</v>
      </c>
      <c r="B17" s="6">
        <v>3052</v>
      </c>
      <c r="C17" s="155"/>
      <c r="D17" s="156">
        <f t="shared" si="2"/>
        <v>0</v>
      </c>
      <c r="E17" s="156"/>
      <c r="F17" s="156"/>
      <c r="G17" s="217">
        <f t="shared" si="0"/>
        <v>0</v>
      </c>
      <c r="H17" s="192" t="e">
        <f t="shared" si="1"/>
        <v>#DIV/0!</v>
      </c>
    </row>
    <row r="18" spans="1:8">
      <c r="A18" s="8" t="s">
        <v>105</v>
      </c>
      <c r="B18" s="6">
        <v>3053</v>
      </c>
      <c r="C18" s="155"/>
      <c r="D18" s="156">
        <f t="shared" si="2"/>
        <v>0</v>
      </c>
      <c r="E18" s="156"/>
      <c r="F18" s="156"/>
      <c r="G18" s="217">
        <f t="shared" si="0"/>
        <v>0</v>
      </c>
      <c r="H18" s="192" t="e">
        <f t="shared" si="1"/>
        <v>#DIV/0!</v>
      </c>
    </row>
    <row r="19" spans="1:8">
      <c r="A19" s="8" t="s">
        <v>400</v>
      </c>
      <c r="B19" s="9">
        <v>3060</v>
      </c>
      <c r="C19" s="156">
        <f>C20+C21+C24+C25</f>
        <v>270390</v>
      </c>
      <c r="D19" s="156">
        <f>D20+D21+D24+D25</f>
        <v>188172</v>
      </c>
      <c r="E19" s="156">
        <f>E20+E21+E24+E25</f>
        <v>303129</v>
      </c>
      <c r="F19" s="156">
        <f>F20+F21+F24+F25</f>
        <v>188172</v>
      </c>
      <c r="G19" s="217">
        <f t="shared" si="0"/>
        <v>-114957</v>
      </c>
      <c r="H19" s="134">
        <f t="shared" si="1"/>
        <v>62.076541670377964</v>
      </c>
    </row>
    <row r="20" spans="1:8">
      <c r="A20" s="8" t="s">
        <v>509</v>
      </c>
      <c r="B20" s="9"/>
      <c r="C20" s="155">
        <v>2548.4</v>
      </c>
      <c r="D20" s="156">
        <f>F20</f>
        <v>2284</v>
      </c>
      <c r="E20" s="156">
        <v>2220</v>
      </c>
      <c r="F20" s="156">
        <v>2284</v>
      </c>
      <c r="G20" s="217">
        <f t="shared" si="0"/>
        <v>64</v>
      </c>
      <c r="H20" s="134">
        <f t="shared" si="1"/>
        <v>102.88288288288288</v>
      </c>
    </row>
    <row r="21" spans="1:8" ht="37.5">
      <c r="A21" s="8" t="s">
        <v>614</v>
      </c>
      <c r="B21" s="9" t="s">
        <v>447</v>
      </c>
      <c r="C21" s="155">
        <v>262300</v>
      </c>
      <c r="D21" s="156">
        <f>SUM(D22:D23)</f>
        <v>174140</v>
      </c>
      <c r="E21" s="156">
        <f>SUM(E22:E23)</f>
        <v>240482</v>
      </c>
      <c r="F21" s="156">
        <f>SUM(F22:F23)</f>
        <v>174140</v>
      </c>
      <c r="G21" s="217">
        <f>F21-E21</f>
        <v>-66342</v>
      </c>
      <c r="H21" s="134">
        <f>(F21/E21)*100</f>
        <v>72.412904084297367</v>
      </c>
    </row>
    <row r="22" spans="1:8">
      <c r="A22" s="8" t="s">
        <v>581</v>
      </c>
      <c r="B22" s="9" t="s">
        <v>511</v>
      </c>
      <c r="C22" s="155">
        <v>132482</v>
      </c>
      <c r="D22" s="156">
        <f t="shared" ref="D22:D25" si="3">F22</f>
        <v>174140</v>
      </c>
      <c r="E22" s="156">
        <v>192166</v>
      </c>
      <c r="F22" s="156">
        <v>174140</v>
      </c>
      <c r="G22" s="217">
        <f>F22-E22</f>
        <v>-18026</v>
      </c>
      <c r="H22" s="134">
        <f>(F22/E22)*100</f>
        <v>90.619568498069384</v>
      </c>
    </row>
    <row r="23" spans="1:8" ht="37.5">
      <c r="A23" s="8" t="s">
        <v>582</v>
      </c>
      <c r="B23" s="9" t="s">
        <v>512</v>
      </c>
      <c r="C23" s="155">
        <v>66673.3</v>
      </c>
      <c r="D23" s="156">
        <f t="shared" si="3"/>
        <v>0</v>
      </c>
      <c r="E23" s="156">
        <v>48316</v>
      </c>
      <c r="F23" s="156"/>
      <c r="G23" s="217">
        <f>F23-E23</f>
        <v>-48316</v>
      </c>
      <c r="H23" s="134">
        <f>(F23/E23)*100</f>
        <v>0</v>
      </c>
    </row>
    <row r="24" spans="1:8">
      <c r="A24" s="8" t="s">
        <v>510</v>
      </c>
      <c r="B24" s="9" t="s">
        <v>448</v>
      </c>
      <c r="C24" s="155">
        <v>4199</v>
      </c>
      <c r="D24" s="156">
        <f t="shared" si="3"/>
        <v>8740</v>
      </c>
      <c r="E24" s="156">
        <v>3400</v>
      </c>
      <c r="F24" s="156">
        <v>8740</v>
      </c>
      <c r="G24" s="217">
        <f t="shared" ref="G24:G43" si="4">F24-E24</f>
        <v>5340</v>
      </c>
      <c r="H24" s="134">
        <f t="shared" ref="H24:H43" si="5">(F24/E24)*100</f>
        <v>257.05882352941177</v>
      </c>
    </row>
    <row r="25" spans="1:8">
      <c r="A25" s="8" t="s">
        <v>427</v>
      </c>
      <c r="B25" s="9" t="s">
        <v>461</v>
      </c>
      <c r="C25" s="155">
        <v>1342.6</v>
      </c>
      <c r="D25" s="156">
        <f t="shared" si="3"/>
        <v>3008</v>
      </c>
      <c r="E25" s="156">
        <v>57027</v>
      </c>
      <c r="F25" s="156">
        <v>3008</v>
      </c>
      <c r="G25" s="217">
        <f t="shared" si="4"/>
        <v>-54019</v>
      </c>
      <c r="H25" s="134">
        <f t="shared" si="5"/>
        <v>5.2746944429831482</v>
      </c>
    </row>
    <row r="26" spans="1:8">
      <c r="A26" s="173" t="s">
        <v>273</v>
      </c>
      <c r="B26" s="174">
        <v>3100</v>
      </c>
      <c r="C26" s="338">
        <f>SUM(C27:C34,C38,C54,C55)-C27</f>
        <v>-280674.2</v>
      </c>
      <c r="D26" s="338">
        <f t="shared" ref="D26:F26" si="6">SUM(D27:D34,D38,D54,D55)-D27</f>
        <v>-170909</v>
      </c>
      <c r="E26" s="338">
        <f t="shared" si="6"/>
        <v>-203589</v>
      </c>
      <c r="F26" s="338">
        <f t="shared" si="6"/>
        <v>-170909</v>
      </c>
      <c r="G26" s="235">
        <f t="shared" si="4"/>
        <v>32680</v>
      </c>
      <c r="H26" s="236">
        <f t="shared" si="5"/>
        <v>83.948052203213336</v>
      </c>
    </row>
    <row r="27" spans="1:8">
      <c r="A27" s="8" t="s">
        <v>624</v>
      </c>
      <c r="B27" s="9">
        <v>3110</v>
      </c>
      <c r="C27" s="155">
        <f>SUM(C28:C30)</f>
        <v>-42627.199999999997</v>
      </c>
      <c r="D27" s="155">
        <f>SUM(D28:D32)</f>
        <v>-48001</v>
      </c>
      <c r="E27" s="155">
        <f>SUM(E28:E32)</f>
        <v>-65903</v>
      </c>
      <c r="F27" s="155">
        <f>SUM(F28:F32)</f>
        <v>-48001</v>
      </c>
      <c r="G27" s="217">
        <f t="shared" si="4"/>
        <v>17902</v>
      </c>
      <c r="H27" s="134">
        <f t="shared" si="5"/>
        <v>72.835834484014384</v>
      </c>
    </row>
    <row r="28" spans="1:8" s="261" customFormat="1">
      <c r="A28" s="263" t="s">
        <v>623</v>
      </c>
      <c r="B28" s="264" t="s">
        <v>655</v>
      </c>
      <c r="C28" s="366">
        <v>-41325.4</v>
      </c>
      <c r="D28" s="281">
        <f t="shared" ref="D28:D33" si="7">F28</f>
        <v>-34312</v>
      </c>
      <c r="E28" s="281">
        <v>-53780</v>
      </c>
      <c r="F28" s="281">
        <v>-34312</v>
      </c>
      <c r="G28" s="266"/>
      <c r="H28" s="267"/>
    </row>
    <row r="29" spans="1:8">
      <c r="A29" s="263" t="s">
        <v>564</v>
      </c>
      <c r="B29" s="264" t="s">
        <v>656</v>
      </c>
      <c r="C29" s="366">
        <v>-386.2</v>
      </c>
      <c r="D29" s="281">
        <f t="shared" si="7"/>
        <v>-11229</v>
      </c>
      <c r="E29" s="281">
        <v>-8846</v>
      </c>
      <c r="F29" s="281">
        <v>-11229</v>
      </c>
      <c r="G29" s="266">
        <f>F29-E29</f>
        <v>-2383</v>
      </c>
      <c r="H29" s="267">
        <f>(F29/E29)*100</f>
        <v>126.93872936920643</v>
      </c>
    </row>
    <row r="30" spans="1:8" ht="37.5">
      <c r="A30" s="263" t="s">
        <v>513</v>
      </c>
      <c r="B30" s="264" t="s">
        <v>657</v>
      </c>
      <c r="C30" s="366">
        <v>-915.6</v>
      </c>
      <c r="D30" s="281">
        <f t="shared" si="7"/>
        <v>-2460</v>
      </c>
      <c r="E30" s="281">
        <v>-3077</v>
      </c>
      <c r="F30" s="281">
        <v>-2460</v>
      </c>
      <c r="G30" s="266">
        <f t="shared" si="4"/>
        <v>617</v>
      </c>
      <c r="H30" s="267">
        <f t="shared" si="5"/>
        <v>79.948001299967501</v>
      </c>
    </row>
    <row r="31" spans="1:8" s="297" customFormat="1" ht="37.5">
      <c r="A31" s="263" t="s">
        <v>654</v>
      </c>
      <c r="B31" s="264" t="s">
        <v>658</v>
      </c>
      <c r="C31" s="366"/>
      <c r="D31" s="281">
        <f t="shared" si="7"/>
        <v>0</v>
      </c>
      <c r="E31" s="281">
        <v>-150</v>
      </c>
      <c r="F31" s="281">
        <v>0</v>
      </c>
      <c r="G31" s="266">
        <f t="shared" si="4"/>
        <v>150</v>
      </c>
      <c r="H31" s="267">
        <f t="shared" si="5"/>
        <v>0</v>
      </c>
    </row>
    <row r="32" spans="1:8" s="297" customFormat="1">
      <c r="A32" s="263" t="s">
        <v>660</v>
      </c>
      <c r="B32" s="264" t="s">
        <v>659</v>
      </c>
      <c r="C32" s="366"/>
      <c r="D32" s="281">
        <f t="shared" si="7"/>
        <v>0</v>
      </c>
      <c r="E32" s="281">
        <v>-50</v>
      </c>
      <c r="F32" s="281">
        <v>0</v>
      </c>
      <c r="G32" s="266">
        <f t="shared" si="4"/>
        <v>50</v>
      </c>
      <c r="H32" s="267">
        <f t="shared" si="5"/>
        <v>0</v>
      </c>
    </row>
    <row r="33" spans="1:8">
      <c r="A33" s="8" t="s">
        <v>262</v>
      </c>
      <c r="B33" s="9">
        <v>3120</v>
      </c>
      <c r="C33" s="155">
        <v>-66740</v>
      </c>
      <c r="D33" s="156">
        <f t="shared" si="7"/>
        <v>-67525</v>
      </c>
      <c r="E33" s="156">
        <v>-79904</v>
      </c>
      <c r="F33" s="156">
        <v>-67525</v>
      </c>
      <c r="G33" s="217">
        <f t="shared" si="4"/>
        <v>12379</v>
      </c>
      <c r="H33" s="134">
        <f t="shared" si="5"/>
        <v>84.507659191029234</v>
      </c>
    </row>
    <row r="34" spans="1:8" ht="37.5">
      <c r="A34" s="8" t="s">
        <v>84</v>
      </c>
      <c r="B34" s="9">
        <v>3130</v>
      </c>
      <c r="C34" s="155">
        <f>SUM(C35:C37)</f>
        <v>0</v>
      </c>
      <c r="D34" s="156">
        <f>F34</f>
        <v>0</v>
      </c>
      <c r="E34" s="156">
        <f>SUM(E35:E37)</f>
        <v>0</v>
      </c>
      <c r="F34" s="156">
        <f>SUM(F35:F37)</f>
        <v>0</v>
      </c>
      <c r="G34" s="217">
        <f t="shared" si="4"/>
        <v>0</v>
      </c>
      <c r="H34" s="192" t="e">
        <f t="shared" si="5"/>
        <v>#DIV/0!</v>
      </c>
    </row>
    <row r="35" spans="1:8">
      <c r="A35" s="8" t="s">
        <v>83</v>
      </c>
      <c r="B35" s="6">
        <v>3131</v>
      </c>
      <c r="C35" s="155" t="s">
        <v>229</v>
      </c>
      <c r="D35" s="156" t="str">
        <f>F35</f>
        <v>(    )</v>
      </c>
      <c r="E35" s="156" t="s">
        <v>229</v>
      </c>
      <c r="F35" s="156" t="s">
        <v>229</v>
      </c>
      <c r="G35" s="218" t="e">
        <f t="shared" si="4"/>
        <v>#VALUE!</v>
      </c>
      <c r="H35" s="192" t="e">
        <f t="shared" si="5"/>
        <v>#VALUE!</v>
      </c>
    </row>
    <row r="36" spans="1:8">
      <c r="A36" s="8" t="s">
        <v>86</v>
      </c>
      <c r="B36" s="6">
        <v>3132</v>
      </c>
      <c r="C36" s="155" t="s">
        <v>229</v>
      </c>
      <c r="D36" s="156" t="str">
        <f>F36</f>
        <v>(    )</v>
      </c>
      <c r="E36" s="156" t="s">
        <v>229</v>
      </c>
      <c r="F36" s="156" t="s">
        <v>229</v>
      </c>
      <c r="G36" s="218" t="e">
        <f t="shared" si="4"/>
        <v>#VALUE!</v>
      </c>
      <c r="H36" s="192" t="e">
        <f t="shared" si="5"/>
        <v>#VALUE!</v>
      </c>
    </row>
    <row r="37" spans="1:8">
      <c r="A37" s="8" t="s">
        <v>105</v>
      </c>
      <c r="B37" s="6">
        <v>3133</v>
      </c>
      <c r="C37" s="155" t="s">
        <v>229</v>
      </c>
      <c r="D37" s="156" t="str">
        <f>F37</f>
        <v>(    )</v>
      </c>
      <c r="E37" s="156" t="s">
        <v>229</v>
      </c>
      <c r="F37" s="156" t="s">
        <v>229</v>
      </c>
      <c r="G37" s="218" t="e">
        <f t="shared" si="4"/>
        <v>#VALUE!</v>
      </c>
      <c r="H37" s="192" t="e">
        <f t="shared" si="5"/>
        <v>#VALUE!</v>
      </c>
    </row>
    <row r="38" spans="1:8" ht="37.5">
      <c r="A38" s="8" t="s">
        <v>282</v>
      </c>
      <c r="B38" s="9">
        <v>3140</v>
      </c>
      <c r="C38" s="155">
        <f>SUM(C39:C44,C47)</f>
        <v>-132708</v>
      </c>
      <c r="D38" s="156">
        <f>SUM(D39:D44,D47)</f>
        <v>-41910</v>
      </c>
      <c r="E38" s="156">
        <f>E39+E40+E43+E44+E47</f>
        <v>-48399</v>
      </c>
      <c r="F38" s="156">
        <f>SUM(F39:F44,F47)</f>
        <v>-41910</v>
      </c>
      <c r="G38" s="217">
        <f t="shared" si="4"/>
        <v>6489</v>
      </c>
      <c r="H38" s="134">
        <f t="shared" si="5"/>
        <v>86.592698196243717</v>
      </c>
    </row>
    <row r="39" spans="1:8">
      <c r="A39" s="8" t="s">
        <v>263</v>
      </c>
      <c r="B39" s="6">
        <v>3141</v>
      </c>
      <c r="C39" s="155">
        <f>-'ІІ. Розр. з бюджетом'!C25</f>
        <v>-23609</v>
      </c>
      <c r="D39" s="156">
        <f>-'ІІ. Розр. з бюджетом'!D25</f>
        <v>-1183</v>
      </c>
      <c r="E39" s="156">
        <f>-'ІІ. Розр. з бюджетом'!E25</f>
        <v>-3231</v>
      </c>
      <c r="F39" s="156">
        <f>-'ІІ. Розр. з бюджетом'!F25</f>
        <v>-1183</v>
      </c>
      <c r="G39" s="217">
        <f t="shared" si="4"/>
        <v>2048</v>
      </c>
      <c r="H39" s="134">
        <f t="shared" si="5"/>
        <v>36.614051377282578</v>
      </c>
    </row>
    <row r="40" spans="1:8">
      <c r="A40" s="8" t="s">
        <v>264</v>
      </c>
      <c r="B40" s="6">
        <v>3142</v>
      </c>
      <c r="C40" s="155">
        <f>-'ІІ. Розр. з бюджетом'!C26</f>
        <v>-165</v>
      </c>
      <c r="D40" s="156">
        <f>-'ІІ. Розр. з бюджетом'!D26</f>
        <v>-167</v>
      </c>
      <c r="E40" s="156">
        <f>-'ІІ. Розр. з бюджетом'!E26</f>
        <v>-130</v>
      </c>
      <c r="F40" s="156">
        <f>-'ІІ. Розр. з бюджетом'!F26</f>
        <v>-167</v>
      </c>
      <c r="G40" s="217">
        <f t="shared" si="4"/>
        <v>-37</v>
      </c>
      <c r="H40" s="134">
        <f t="shared" si="5"/>
        <v>128.46153846153848</v>
      </c>
    </row>
    <row r="41" spans="1:8">
      <c r="A41" s="8" t="s">
        <v>77</v>
      </c>
      <c r="B41" s="6">
        <v>3143</v>
      </c>
      <c r="C41" s="155" t="s">
        <v>229</v>
      </c>
      <c r="D41" s="156">
        <f>F41</f>
        <v>0</v>
      </c>
      <c r="E41" s="156"/>
      <c r="F41" s="156"/>
      <c r="G41" s="217">
        <f t="shared" si="4"/>
        <v>0</v>
      </c>
      <c r="H41" s="192" t="e">
        <f t="shared" si="5"/>
        <v>#DIV/0!</v>
      </c>
    </row>
    <row r="42" spans="1:8">
      <c r="A42" s="8" t="s">
        <v>265</v>
      </c>
      <c r="B42" s="6">
        <v>3144</v>
      </c>
      <c r="C42" s="155" t="s">
        <v>229</v>
      </c>
      <c r="D42" s="156">
        <f>F42</f>
        <v>0</v>
      </c>
      <c r="E42" s="156" t="s">
        <v>229</v>
      </c>
      <c r="F42" s="156"/>
      <c r="G42" s="218" t="e">
        <f t="shared" si="4"/>
        <v>#VALUE!</v>
      </c>
      <c r="H42" s="192" t="e">
        <f t="shared" si="5"/>
        <v>#VALUE!</v>
      </c>
    </row>
    <row r="43" spans="1:8">
      <c r="A43" s="8" t="s">
        <v>76</v>
      </c>
      <c r="B43" s="6">
        <v>3145</v>
      </c>
      <c r="C43" s="155">
        <f>-'ІІ. Розр. з бюджетом'!C37</f>
        <v>-15188.6</v>
      </c>
      <c r="D43" s="156">
        <f>-'ІІ. Розр. з бюджетом'!D37</f>
        <v>-15335</v>
      </c>
      <c r="E43" s="156">
        <f>-'ІІ. Розр. з бюджетом'!E37</f>
        <v>-17867</v>
      </c>
      <c r="F43" s="156">
        <f>-'ІІ. Розр. з бюджетом'!F37</f>
        <v>-15335</v>
      </c>
      <c r="G43" s="217">
        <f t="shared" si="4"/>
        <v>2532</v>
      </c>
      <c r="H43" s="134">
        <f t="shared" si="5"/>
        <v>85.828622600324621</v>
      </c>
    </row>
    <row r="44" spans="1:8">
      <c r="A44" s="8" t="s">
        <v>271</v>
      </c>
      <c r="B44" s="6">
        <v>3146</v>
      </c>
      <c r="C44" s="155">
        <f>SUM(C45,C46)</f>
        <v>-74261.2</v>
      </c>
      <c r="D44" s="156">
        <f>D45</f>
        <v>-4629</v>
      </c>
      <c r="E44" s="156">
        <f>E45</f>
        <v>-2395</v>
      </c>
      <c r="F44" s="156">
        <f>F45</f>
        <v>-4629</v>
      </c>
      <c r="G44" s="217">
        <f t="shared" ref="G44:G127" si="8">F44-E44</f>
        <v>-2234</v>
      </c>
      <c r="H44" s="134">
        <f t="shared" ref="H44:H127" si="9">(F44/E44)*100</f>
        <v>193.27766179540711</v>
      </c>
    </row>
    <row r="45" spans="1:8">
      <c r="A45" s="8" t="s">
        <v>266</v>
      </c>
      <c r="B45" s="6" t="s">
        <v>291</v>
      </c>
      <c r="C45" s="155">
        <f>-'ІІ. Розр. з бюджетом'!C29</f>
        <v>-74261.2</v>
      </c>
      <c r="D45" s="156">
        <f>-'ІІ. Розр. з бюджетом'!D29</f>
        <v>-4629</v>
      </c>
      <c r="E45" s="156">
        <f>-'ІІ. Розр. з бюджетом'!E29</f>
        <v>-2395</v>
      </c>
      <c r="F45" s="156">
        <f>-'ІІ. Розр. з бюджетом'!F29</f>
        <v>-4629</v>
      </c>
      <c r="G45" s="217">
        <f t="shared" si="8"/>
        <v>-2234</v>
      </c>
      <c r="H45" s="134">
        <f t="shared" si="9"/>
        <v>193.27766179540711</v>
      </c>
    </row>
    <row r="46" spans="1:8" ht="37.5">
      <c r="A46" s="8" t="s">
        <v>267</v>
      </c>
      <c r="B46" s="6" t="s">
        <v>292</v>
      </c>
      <c r="C46" s="155" t="s">
        <v>229</v>
      </c>
      <c r="D46" s="156" t="str">
        <f>F46</f>
        <v>(    )</v>
      </c>
      <c r="E46" s="156" t="s">
        <v>229</v>
      </c>
      <c r="F46" s="156" t="s">
        <v>229</v>
      </c>
      <c r="G46" s="217"/>
      <c r="H46" s="134"/>
    </row>
    <row r="47" spans="1:8">
      <c r="A47" s="8" t="s">
        <v>81</v>
      </c>
      <c r="B47" s="6">
        <v>3150</v>
      </c>
      <c r="C47" s="156">
        <f>SUM(C48:C53)</f>
        <v>-19484.199999999997</v>
      </c>
      <c r="D47" s="156">
        <f>SUM(D48:D53)</f>
        <v>-20596</v>
      </c>
      <c r="E47" s="156">
        <f>SUM(E48:E53)</f>
        <v>-24776</v>
      </c>
      <c r="F47" s="156">
        <f>SUM(F48:F53)</f>
        <v>-20596</v>
      </c>
      <c r="G47" s="217">
        <f t="shared" si="8"/>
        <v>4180</v>
      </c>
      <c r="H47" s="134">
        <f t="shared" si="9"/>
        <v>83.128834355828218</v>
      </c>
    </row>
    <row r="48" spans="1:8">
      <c r="A48" s="8" t="s">
        <v>565</v>
      </c>
      <c r="B48" s="6" t="s">
        <v>449</v>
      </c>
      <c r="C48" s="155">
        <f>-'ІІ. Розр. з бюджетом'!C44</f>
        <v>-17384</v>
      </c>
      <c r="D48" s="156">
        <f>-'ІІ. Розр. з бюджетом'!D44</f>
        <v>-18166</v>
      </c>
      <c r="E48" s="156">
        <f>-'ІІ. Розр. з бюджетом'!E44</f>
        <v>-21947</v>
      </c>
      <c r="F48" s="156">
        <f>-'ІІ. Розр. з бюджетом'!F44</f>
        <v>-18166</v>
      </c>
      <c r="G48" s="217">
        <f t="shared" si="8"/>
        <v>3781</v>
      </c>
      <c r="H48" s="134">
        <f t="shared" si="9"/>
        <v>82.772132865539703</v>
      </c>
    </row>
    <row r="49" spans="1:8">
      <c r="A49" s="8" t="s">
        <v>444</v>
      </c>
      <c r="B49" s="6" t="s">
        <v>450</v>
      </c>
      <c r="C49" s="155">
        <f>-'ІІ. Розр. з бюджетом'!C35</f>
        <v>-1266.5999999999999</v>
      </c>
      <c r="D49" s="156">
        <f>-'ІІ. Розр. з бюджетом'!D35</f>
        <v>-1277</v>
      </c>
      <c r="E49" s="156">
        <f>-'ІІ. Розр. з бюджетом'!E35</f>
        <v>-1489</v>
      </c>
      <c r="F49" s="156">
        <f>-'ІІ. Розр. з бюджетом'!F35</f>
        <v>-1277</v>
      </c>
      <c r="G49" s="217">
        <f t="shared" si="8"/>
        <v>212</v>
      </c>
      <c r="H49" s="134">
        <f t="shared" si="9"/>
        <v>85.762256548018797</v>
      </c>
    </row>
    <row r="50" spans="1:8">
      <c r="A50" s="8" t="s">
        <v>459</v>
      </c>
      <c r="B50" s="6" t="s">
        <v>546</v>
      </c>
      <c r="C50" s="155">
        <f>-'ІІ. Розр. з бюджетом'!C34</f>
        <v>-388</v>
      </c>
      <c r="D50" s="156">
        <f>-'ІІ. Розр. з бюджетом'!D34</f>
        <v>-556</v>
      </c>
      <c r="E50" s="156">
        <f>-'ІІ. Розр. з бюджетом'!E34</f>
        <v>-721</v>
      </c>
      <c r="F50" s="156">
        <f>-'ІІ. Розр. з бюджетом'!F34</f>
        <v>-556</v>
      </c>
      <c r="G50" s="217">
        <f t="shared" si="8"/>
        <v>165</v>
      </c>
      <c r="H50" s="134">
        <f t="shared" si="9"/>
        <v>77.115117891816922</v>
      </c>
    </row>
    <row r="51" spans="1:8">
      <c r="A51" s="15" t="s">
        <v>514</v>
      </c>
      <c r="B51" s="6" t="s">
        <v>515</v>
      </c>
      <c r="C51" s="155">
        <f>-'ІІ. Розр. з бюджетом'!C38</f>
        <v>-0.8</v>
      </c>
      <c r="D51" s="156">
        <f>-'ІІ. Розр. з бюджетом'!D38</f>
        <v>-179</v>
      </c>
      <c r="E51" s="156">
        <f>-'ІІ. Розр. з бюджетом'!E38</f>
        <v>-143</v>
      </c>
      <c r="F51" s="156">
        <f>-'ІІ. Розр. з бюджетом'!F38</f>
        <v>-179</v>
      </c>
      <c r="G51" s="217">
        <f t="shared" si="8"/>
        <v>-36</v>
      </c>
      <c r="H51" s="134">
        <f t="shared" si="9"/>
        <v>125.17482517482517</v>
      </c>
    </row>
    <row r="52" spans="1:8">
      <c r="A52" s="15" t="s">
        <v>517</v>
      </c>
      <c r="B52" s="6" t="s">
        <v>547</v>
      </c>
      <c r="C52" s="155">
        <f>-'ІІ. Розр. з бюджетом'!C39</f>
        <v>-443.3</v>
      </c>
      <c r="D52" s="156">
        <f>-'ІІ. Розр. з бюджетом'!D39</f>
        <v>-400</v>
      </c>
      <c r="E52" s="156">
        <f>-'ІІ. Розр. з бюджетом'!E39</f>
        <v>-466</v>
      </c>
      <c r="F52" s="156">
        <f>-'ІІ. Розр. з бюджетом'!F39</f>
        <v>-400</v>
      </c>
      <c r="G52" s="217">
        <f t="shared" si="8"/>
        <v>66</v>
      </c>
      <c r="H52" s="134">
        <f t="shared" si="9"/>
        <v>85.836909871244643</v>
      </c>
    </row>
    <row r="53" spans="1:8">
      <c r="A53" s="15" t="s">
        <v>566</v>
      </c>
      <c r="B53" s="6" t="s">
        <v>548</v>
      </c>
      <c r="C53" s="156">
        <f>-'ІІ. Розр. з бюджетом'!C40</f>
        <v>-1.5</v>
      </c>
      <c r="D53" s="156">
        <f>-'ІІ. Розр. з бюджетом'!D40</f>
        <v>-18</v>
      </c>
      <c r="E53" s="156">
        <f>-'ІІ. Розр. з бюджетом'!E40</f>
        <v>-10</v>
      </c>
      <c r="F53" s="156">
        <f>-'ІІ. Розр. з бюджетом'!F40</f>
        <v>-18</v>
      </c>
      <c r="G53" s="217">
        <f>F53-E53</f>
        <v>-8</v>
      </c>
      <c r="H53" s="134">
        <f>(F53/E53)*100</f>
        <v>180</v>
      </c>
    </row>
    <row r="54" spans="1:8">
      <c r="A54" s="8" t="s">
        <v>268</v>
      </c>
      <c r="B54" s="9">
        <v>3160</v>
      </c>
      <c r="C54" s="155" t="s">
        <v>229</v>
      </c>
      <c r="D54" s="156">
        <f>F54</f>
        <v>0</v>
      </c>
      <c r="E54" s="156"/>
      <c r="F54" s="156"/>
      <c r="G54" s="217">
        <f t="shared" si="8"/>
        <v>0</v>
      </c>
      <c r="H54" s="134" t="e">
        <f t="shared" si="9"/>
        <v>#DIV/0!</v>
      </c>
    </row>
    <row r="55" spans="1:8">
      <c r="A55" s="8" t="s">
        <v>398</v>
      </c>
      <c r="B55" s="9">
        <v>3170</v>
      </c>
      <c r="C55" s="156">
        <f>SUM(C56:C60)</f>
        <v>-38599</v>
      </c>
      <c r="D55" s="156">
        <f>SUM(D56:D60)</f>
        <v>-13473</v>
      </c>
      <c r="E55" s="156">
        <f>SUM(E56:E60)</f>
        <v>-9383</v>
      </c>
      <c r="F55" s="156">
        <f>SUM(F56:F60)</f>
        <v>-13473</v>
      </c>
      <c r="G55" s="217">
        <f t="shared" si="8"/>
        <v>-4090</v>
      </c>
      <c r="H55" s="134">
        <f t="shared" si="9"/>
        <v>143.5894703186614</v>
      </c>
    </row>
    <row r="56" spans="1:8">
      <c r="A56" s="147" t="s">
        <v>473</v>
      </c>
      <c r="B56" s="127" t="s">
        <v>451</v>
      </c>
      <c r="C56" s="155">
        <v>-5563.9</v>
      </c>
      <c r="D56" s="156">
        <f t="shared" ref="D56:D60" si="10">F56</f>
        <v>-5781</v>
      </c>
      <c r="E56" s="156">
        <v>-6983</v>
      </c>
      <c r="F56" s="156">
        <v>-5781</v>
      </c>
      <c r="G56" s="217">
        <f t="shared" si="8"/>
        <v>1202</v>
      </c>
      <c r="H56" s="134">
        <f t="shared" si="9"/>
        <v>82.78676786481455</v>
      </c>
    </row>
    <row r="57" spans="1:8">
      <c r="A57" s="8" t="s">
        <v>460</v>
      </c>
      <c r="B57" s="6" t="s">
        <v>474</v>
      </c>
      <c r="C57" s="155">
        <v>-2889.1</v>
      </c>
      <c r="D57" s="156">
        <f t="shared" si="10"/>
        <v>-2874</v>
      </c>
      <c r="E57" s="156">
        <v>-1700</v>
      </c>
      <c r="F57" s="156">
        <v>-2874</v>
      </c>
      <c r="G57" s="217">
        <f>F57-E57</f>
        <v>-1174</v>
      </c>
      <c r="H57" s="134"/>
    </row>
    <row r="58" spans="1:8" s="297" customFormat="1">
      <c r="A58" s="293" t="s">
        <v>653</v>
      </c>
      <c r="B58" s="127" t="s">
        <v>583</v>
      </c>
      <c r="C58" s="155"/>
      <c r="D58" s="156">
        <f t="shared" si="10"/>
        <v>0</v>
      </c>
      <c r="E58" s="156">
        <v>-200</v>
      </c>
      <c r="F58" s="156"/>
      <c r="G58" s="217"/>
      <c r="H58" s="134"/>
    </row>
    <row r="59" spans="1:8">
      <c r="A59" s="15" t="s">
        <v>518</v>
      </c>
      <c r="B59" s="291" t="s">
        <v>584</v>
      </c>
      <c r="C59" s="155">
        <v>-30124</v>
      </c>
      <c r="D59" s="156">
        <f t="shared" si="10"/>
        <v>0</v>
      </c>
      <c r="E59" s="156"/>
      <c r="F59" s="156"/>
      <c r="G59" s="217"/>
      <c r="H59" s="134"/>
    </row>
    <row r="60" spans="1:8">
      <c r="A60" s="147" t="s">
        <v>427</v>
      </c>
      <c r="B60" s="127" t="s">
        <v>652</v>
      </c>
      <c r="C60" s="155">
        <v>-22</v>
      </c>
      <c r="D60" s="156">
        <f t="shared" si="10"/>
        <v>-4818</v>
      </c>
      <c r="E60" s="156">
        <v>-500</v>
      </c>
      <c r="F60" s="156">
        <v>-4818</v>
      </c>
      <c r="G60" s="217">
        <f t="shared" si="8"/>
        <v>-4318</v>
      </c>
      <c r="H60" s="134">
        <f t="shared" si="9"/>
        <v>963.59999999999991</v>
      </c>
    </row>
    <row r="61" spans="1:8">
      <c r="A61" s="175" t="s">
        <v>287</v>
      </c>
      <c r="B61" s="176">
        <v>3195</v>
      </c>
      <c r="C61" s="180">
        <f>SUM(C9,C26)</f>
        <v>16166.799999999988</v>
      </c>
      <c r="D61" s="180">
        <f>SUM(D9,D26)</f>
        <v>19427</v>
      </c>
      <c r="E61" s="157">
        <f>SUM(E9,E26)</f>
        <v>100518</v>
      </c>
      <c r="F61" s="157">
        <f>SUM(F9,F26)</f>
        <v>19427</v>
      </c>
      <c r="G61" s="216">
        <f t="shared" si="8"/>
        <v>-81091</v>
      </c>
      <c r="H61" s="166">
        <f t="shared" si="9"/>
        <v>19.326886726755408</v>
      </c>
    </row>
    <row r="62" spans="1:8">
      <c r="A62" s="170" t="s">
        <v>293</v>
      </c>
      <c r="B62" s="124"/>
      <c r="C62" s="198"/>
      <c r="D62" s="199"/>
      <c r="E62" s="199">
        <f>SUM(E63:E66)</f>
        <v>0</v>
      </c>
      <c r="F62" s="199"/>
      <c r="G62" s="217">
        <f t="shared" si="8"/>
        <v>0</v>
      </c>
      <c r="H62" s="134"/>
    </row>
    <row r="63" spans="1:8">
      <c r="A63" s="171" t="s">
        <v>260</v>
      </c>
      <c r="B63" s="172">
        <v>3200</v>
      </c>
      <c r="C63" s="180">
        <f>SUM(C64:C67)</f>
        <v>0</v>
      </c>
      <c r="D63" s="157">
        <f>D67</f>
        <v>42979</v>
      </c>
      <c r="E63" s="157"/>
      <c r="F63" s="157">
        <f>SUM(F64:F67)</f>
        <v>42979</v>
      </c>
      <c r="G63" s="216">
        <f t="shared" si="8"/>
        <v>42979</v>
      </c>
      <c r="H63" s="166" t="e">
        <f t="shared" si="9"/>
        <v>#DIV/0!</v>
      </c>
    </row>
    <row r="64" spans="1:8">
      <c r="A64" s="8" t="s">
        <v>283</v>
      </c>
      <c r="B64" s="6">
        <v>3210</v>
      </c>
      <c r="C64" s="155"/>
      <c r="D64" s="156"/>
      <c r="E64" s="156"/>
      <c r="F64" s="156"/>
      <c r="G64" s="217">
        <f t="shared" si="8"/>
        <v>0</v>
      </c>
      <c r="H64" s="134"/>
    </row>
    <row r="65" spans="1:8">
      <c r="A65" s="8" t="s">
        <v>284</v>
      </c>
      <c r="B65" s="9">
        <v>3220</v>
      </c>
      <c r="C65" s="155"/>
      <c r="D65" s="156"/>
      <c r="E65" s="156"/>
      <c r="F65" s="156"/>
      <c r="G65" s="217">
        <f t="shared" si="8"/>
        <v>0</v>
      </c>
      <c r="H65" s="134"/>
    </row>
    <row r="66" spans="1:8">
      <c r="A66" s="8" t="s">
        <v>50</v>
      </c>
      <c r="B66" s="9">
        <v>3230</v>
      </c>
      <c r="C66" s="155"/>
      <c r="D66" s="156"/>
      <c r="E66" s="156"/>
      <c r="F66" s="156"/>
      <c r="G66" s="217">
        <f t="shared" si="8"/>
        <v>0</v>
      </c>
      <c r="H66" s="134"/>
    </row>
    <row r="67" spans="1:8">
      <c r="A67" s="8" t="s">
        <v>401</v>
      </c>
      <c r="B67" s="9">
        <v>3240</v>
      </c>
      <c r="C67" s="155"/>
      <c r="D67" s="156">
        <v>42979</v>
      </c>
      <c r="E67" s="156"/>
      <c r="F67" s="156">
        <f>D67</f>
        <v>42979</v>
      </c>
      <c r="G67" s="217">
        <f t="shared" si="8"/>
        <v>42979</v>
      </c>
      <c r="H67" s="134"/>
    </row>
    <row r="68" spans="1:8">
      <c r="A68" s="10" t="s">
        <v>274</v>
      </c>
      <c r="B68" s="11">
        <v>3255</v>
      </c>
      <c r="C68" s="157">
        <f>C69+C93+C111+C116</f>
        <v>-21010.999999999996</v>
      </c>
      <c r="D68" s="157">
        <f>D69+D93+D111+D116</f>
        <v>-18482</v>
      </c>
      <c r="E68" s="157">
        <f>E69+E93+E111+E116</f>
        <v>-60761</v>
      </c>
      <c r="F68" s="157">
        <f>F69+F93+F111+F116</f>
        <v>-18482</v>
      </c>
      <c r="G68" s="219">
        <f t="shared" si="8"/>
        <v>42279</v>
      </c>
      <c r="H68" s="135">
        <f t="shared" si="9"/>
        <v>30.417537565214531</v>
      </c>
    </row>
    <row r="69" spans="1:8">
      <c r="A69" s="211" t="s">
        <v>402</v>
      </c>
      <c r="B69" s="188">
        <v>3260</v>
      </c>
      <c r="C69" s="155">
        <f>SUM(C70:C92)</f>
        <v>-17786.8</v>
      </c>
      <c r="D69" s="155">
        <f>SUM(D70:D92)</f>
        <v>-15755</v>
      </c>
      <c r="E69" s="155">
        <f>SUM(E70:E92)</f>
        <v>-26453</v>
      </c>
      <c r="F69" s="155">
        <f>SUM(F70:F92)</f>
        <v>-15755</v>
      </c>
      <c r="G69" s="221">
        <f t="shared" si="8"/>
        <v>10698</v>
      </c>
      <c r="H69" s="179">
        <f t="shared" si="9"/>
        <v>59.558462178202852</v>
      </c>
    </row>
    <row r="70" spans="1:8" ht="96.75" customHeight="1">
      <c r="A70" s="248" t="s">
        <v>587</v>
      </c>
      <c r="B70" s="9"/>
      <c r="C70" s="155">
        <v>-54</v>
      </c>
      <c r="D70" s="156">
        <f t="shared" ref="D70:D110" si="11">F70</f>
        <v>-132</v>
      </c>
      <c r="E70" s="156">
        <v>-135</v>
      </c>
      <c r="F70" s="156">
        <v>-132</v>
      </c>
      <c r="G70" s="217">
        <f>F70-E70</f>
        <v>3</v>
      </c>
      <c r="H70" s="134">
        <f>(F70/E70)*100</f>
        <v>97.777777777777771</v>
      </c>
    </row>
    <row r="71" spans="1:8" s="297" customFormat="1" ht="117" customHeight="1">
      <c r="A71" s="248" t="s">
        <v>662</v>
      </c>
      <c r="B71" s="9"/>
      <c r="C71" s="155"/>
      <c r="D71" s="156">
        <f t="shared" si="11"/>
        <v>0</v>
      </c>
      <c r="E71" s="156">
        <v>-5020</v>
      </c>
      <c r="F71" s="156"/>
      <c r="G71" s="217"/>
      <c r="H71" s="134"/>
    </row>
    <row r="72" spans="1:8" s="335" customFormat="1" ht="78" customHeight="1">
      <c r="A72" s="248" t="s">
        <v>568</v>
      </c>
      <c r="B72" s="9"/>
      <c r="C72" s="155"/>
      <c r="D72" s="156">
        <f t="shared" si="11"/>
        <v>-4852</v>
      </c>
      <c r="E72" s="156">
        <v>-4936</v>
      </c>
      <c r="F72" s="156">
        <v>-4852</v>
      </c>
      <c r="G72" s="217"/>
      <c r="H72" s="134"/>
    </row>
    <row r="73" spans="1:8" ht="78.75" customHeight="1">
      <c r="A73" s="248" t="s">
        <v>606</v>
      </c>
      <c r="B73" s="9"/>
      <c r="C73" s="155">
        <v>-194</v>
      </c>
      <c r="D73" s="156">
        <f t="shared" si="11"/>
        <v>0</v>
      </c>
      <c r="E73" s="156"/>
      <c r="F73" s="156"/>
      <c r="G73" s="217"/>
      <c r="H73" s="134"/>
    </row>
    <row r="74" spans="1:8" ht="76.5" customHeight="1">
      <c r="A74" s="248" t="s">
        <v>569</v>
      </c>
      <c r="B74" s="9"/>
      <c r="C74" s="155">
        <v>-2367</v>
      </c>
      <c r="D74" s="156">
        <f t="shared" si="11"/>
        <v>-2416</v>
      </c>
      <c r="E74" s="156">
        <v>-4820</v>
      </c>
      <c r="F74" s="156">
        <v>-2416</v>
      </c>
      <c r="G74" s="217">
        <f>F74-E74</f>
        <v>2404</v>
      </c>
      <c r="H74" s="134">
        <f>(F74/E74)*100</f>
        <v>50.124481327800829</v>
      </c>
    </row>
    <row r="75" spans="1:8">
      <c r="A75" s="248" t="s">
        <v>595</v>
      </c>
      <c r="B75" s="9"/>
      <c r="C75" s="155">
        <v>-925.2</v>
      </c>
      <c r="D75" s="156">
        <f t="shared" si="11"/>
        <v>-3721</v>
      </c>
      <c r="E75" s="156">
        <v>-3896</v>
      </c>
      <c r="F75" s="156">
        <v>-3721</v>
      </c>
      <c r="G75" s="217">
        <f>F75-E75</f>
        <v>175</v>
      </c>
      <c r="H75" s="134">
        <f>(F75/E75)*100</f>
        <v>95.508213552361397</v>
      </c>
    </row>
    <row r="76" spans="1:8" ht="37.5">
      <c r="A76" s="248" t="s">
        <v>607</v>
      </c>
      <c r="B76" s="9"/>
      <c r="C76" s="155">
        <v>-3712</v>
      </c>
      <c r="D76" s="156">
        <f t="shared" si="11"/>
        <v>0</v>
      </c>
      <c r="E76" s="156"/>
      <c r="F76" s="156"/>
      <c r="G76" s="217"/>
      <c r="H76" s="134"/>
    </row>
    <row r="77" spans="1:8">
      <c r="A77" s="248" t="s">
        <v>608</v>
      </c>
      <c r="B77" s="9"/>
      <c r="C77" s="155">
        <v>-669.5</v>
      </c>
      <c r="D77" s="156">
        <f t="shared" si="11"/>
        <v>0</v>
      </c>
      <c r="E77" s="156"/>
      <c r="F77" s="156"/>
      <c r="G77" s="217"/>
      <c r="H77" s="134"/>
    </row>
    <row r="78" spans="1:8" s="285" customFormat="1">
      <c r="A78" s="248" t="s">
        <v>645</v>
      </c>
      <c r="B78" s="9"/>
      <c r="C78" s="155">
        <v>-356.3</v>
      </c>
      <c r="D78" s="156">
        <f t="shared" si="11"/>
        <v>0</v>
      </c>
      <c r="E78" s="156"/>
      <c r="F78" s="156"/>
      <c r="G78" s="217"/>
      <c r="H78" s="134"/>
    </row>
    <row r="79" spans="1:8" s="285" customFormat="1">
      <c r="A79" s="248" t="s">
        <v>646</v>
      </c>
      <c r="B79" s="9"/>
      <c r="C79" s="155">
        <v>-701.9</v>
      </c>
      <c r="D79" s="156">
        <f t="shared" si="11"/>
        <v>0</v>
      </c>
      <c r="E79" s="156"/>
      <c r="F79" s="156"/>
      <c r="G79" s="217"/>
      <c r="H79" s="134"/>
    </row>
    <row r="80" spans="1:8" s="285" customFormat="1" ht="37.5">
      <c r="A80" s="248" t="s">
        <v>647</v>
      </c>
      <c r="B80" s="9"/>
      <c r="C80" s="155">
        <v>-1320.8</v>
      </c>
      <c r="D80" s="156">
        <f t="shared" si="11"/>
        <v>0</v>
      </c>
      <c r="E80" s="156"/>
      <c r="F80" s="156"/>
      <c r="G80" s="217"/>
      <c r="H80" s="134"/>
    </row>
    <row r="81" spans="1:8">
      <c r="A81" s="248" t="s">
        <v>609</v>
      </c>
      <c r="B81" s="9"/>
      <c r="C81" s="155">
        <v>-364</v>
      </c>
      <c r="D81" s="156">
        <f t="shared" si="11"/>
        <v>0</v>
      </c>
      <c r="E81" s="156"/>
      <c r="F81" s="156"/>
      <c r="G81" s="217"/>
      <c r="H81" s="134"/>
    </row>
    <row r="82" spans="1:8" s="285" customFormat="1">
      <c r="A82" s="248" t="s">
        <v>643</v>
      </c>
      <c r="B82" s="9"/>
      <c r="C82" s="155">
        <v>-100</v>
      </c>
      <c r="D82" s="156">
        <f t="shared" si="11"/>
        <v>0</v>
      </c>
      <c r="E82" s="156"/>
      <c r="F82" s="156"/>
      <c r="G82" s="217"/>
      <c r="H82" s="134"/>
    </row>
    <row r="83" spans="1:8" s="285" customFormat="1" ht="37.5">
      <c r="A83" s="248" t="s">
        <v>644</v>
      </c>
      <c r="B83" s="9"/>
      <c r="C83" s="155">
        <v>-3090</v>
      </c>
      <c r="D83" s="156">
        <f t="shared" si="11"/>
        <v>0</v>
      </c>
      <c r="E83" s="156"/>
      <c r="F83" s="156"/>
      <c r="G83" s="217"/>
      <c r="H83" s="134"/>
    </row>
    <row r="84" spans="1:8">
      <c r="A84" s="248" t="s">
        <v>589</v>
      </c>
      <c r="B84" s="9"/>
      <c r="C84" s="155"/>
      <c r="D84" s="156">
        <f t="shared" si="11"/>
        <v>-270</v>
      </c>
      <c r="E84" s="156">
        <v>-788</v>
      </c>
      <c r="F84" s="156">
        <v>-270</v>
      </c>
      <c r="G84" s="217">
        <f>F84-E84</f>
        <v>518</v>
      </c>
      <c r="H84" s="134">
        <f>(F84/E84)*100</f>
        <v>34.263959390862944</v>
      </c>
    </row>
    <row r="85" spans="1:8" s="297" customFormat="1">
      <c r="A85" s="248" t="s">
        <v>663</v>
      </c>
      <c r="B85" s="9"/>
      <c r="C85" s="155"/>
      <c r="D85" s="156">
        <f t="shared" si="11"/>
        <v>0</v>
      </c>
      <c r="E85" s="156">
        <v>-1863</v>
      </c>
      <c r="F85" s="156">
        <v>0</v>
      </c>
      <c r="G85" s="217"/>
      <c r="H85" s="134"/>
    </row>
    <row r="86" spans="1:8" s="285" customFormat="1">
      <c r="A86" s="248" t="s">
        <v>641</v>
      </c>
      <c r="B86" s="9"/>
      <c r="C86" s="155">
        <v>-168</v>
      </c>
      <c r="D86" s="156">
        <f t="shared" si="11"/>
        <v>0</v>
      </c>
      <c r="E86" s="156"/>
      <c r="F86" s="156"/>
      <c r="G86" s="217"/>
      <c r="H86" s="134"/>
    </row>
    <row r="87" spans="1:8">
      <c r="A87" s="248" t="s">
        <v>588</v>
      </c>
      <c r="B87" s="9"/>
      <c r="C87" s="155"/>
      <c r="D87" s="156">
        <f t="shared" si="11"/>
        <v>-2809</v>
      </c>
      <c r="E87" s="156">
        <v>-2885</v>
      </c>
      <c r="F87" s="156">
        <v>-2809</v>
      </c>
      <c r="G87" s="217">
        <f>F87-E87</f>
        <v>76</v>
      </c>
      <c r="H87" s="134">
        <f>(F87/E87)*100</f>
        <v>97.365684575389949</v>
      </c>
    </row>
    <row r="88" spans="1:8" s="285" customFormat="1">
      <c r="A88" s="248" t="s">
        <v>642</v>
      </c>
      <c r="B88" s="9"/>
      <c r="C88" s="155">
        <v>-552.5</v>
      </c>
      <c r="D88" s="156">
        <f t="shared" si="11"/>
        <v>0</v>
      </c>
      <c r="E88" s="156"/>
      <c r="F88" s="156"/>
      <c r="G88" s="217"/>
      <c r="H88" s="134"/>
    </row>
    <row r="89" spans="1:8" s="285" customFormat="1" ht="56.25">
      <c r="A89" s="248" t="s">
        <v>640</v>
      </c>
      <c r="B89" s="9"/>
      <c r="C89" s="155">
        <v>-174.6</v>
      </c>
      <c r="D89" s="156">
        <f t="shared" si="11"/>
        <v>0</v>
      </c>
      <c r="E89" s="156"/>
      <c r="F89" s="156"/>
      <c r="G89" s="217"/>
      <c r="H89" s="134"/>
    </row>
    <row r="90" spans="1:8" ht="75">
      <c r="A90" s="248" t="s">
        <v>568</v>
      </c>
      <c r="B90" s="9"/>
      <c r="C90" s="155"/>
      <c r="D90" s="156">
        <f t="shared" si="11"/>
        <v>0</v>
      </c>
      <c r="E90" s="156"/>
      <c r="F90" s="156"/>
      <c r="G90" s="217">
        <f t="shared" si="8"/>
        <v>0</v>
      </c>
      <c r="H90" s="134" t="e">
        <f t="shared" si="9"/>
        <v>#DIV/0!</v>
      </c>
    </row>
    <row r="91" spans="1:8">
      <c r="A91" s="248" t="s">
        <v>578</v>
      </c>
      <c r="B91" s="9"/>
      <c r="C91" s="155">
        <v>-2534</v>
      </c>
      <c r="D91" s="156">
        <f t="shared" si="11"/>
        <v>-186</v>
      </c>
      <c r="E91" s="156">
        <v>-120</v>
      </c>
      <c r="F91" s="156">
        <v>-186</v>
      </c>
      <c r="G91" s="217">
        <f>F91-E91</f>
        <v>-66</v>
      </c>
      <c r="H91" s="134">
        <f>(F91/E91)*100</f>
        <v>155</v>
      </c>
    </row>
    <row r="92" spans="1:8" ht="37.5">
      <c r="A92" s="248" t="s">
        <v>452</v>
      </c>
      <c r="B92" s="9"/>
      <c r="C92" s="155">
        <v>-503</v>
      </c>
      <c r="D92" s="156">
        <f t="shared" si="11"/>
        <v>-1369</v>
      </c>
      <c r="E92" s="156">
        <v>-1990</v>
      </c>
      <c r="F92" s="156">
        <v>-1369</v>
      </c>
      <c r="G92" s="217">
        <f t="shared" si="8"/>
        <v>621</v>
      </c>
      <c r="H92" s="134">
        <f t="shared" si="9"/>
        <v>68.793969849246224</v>
      </c>
    </row>
    <row r="93" spans="1:8">
      <c r="A93" s="159" t="s">
        <v>403</v>
      </c>
      <c r="B93" s="160">
        <v>3265</v>
      </c>
      <c r="C93" s="155">
        <f>SUM(C94:C110)</f>
        <v>-1227.6000000000001</v>
      </c>
      <c r="D93" s="155">
        <f>SUM(D94:D110)</f>
        <v>-666</v>
      </c>
      <c r="E93" s="155">
        <f>SUM(E94:E110)</f>
        <v>-27438</v>
      </c>
      <c r="F93" s="155">
        <f>SUM(F94:F110)</f>
        <v>-666</v>
      </c>
      <c r="G93" s="220">
        <f t="shared" si="8"/>
        <v>26772</v>
      </c>
      <c r="H93" s="161">
        <f t="shared" si="9"/>
        <v>2.4272906188497703</v>
      </c>
    </row>
    <row r="94" spans="1:8" ht="93.75">
      <c r="A94" s="237" t="s">
        <v>585</v>
      </c>
      <c r="B94" s="9"/>
      <c r="C94" s="155">
        <v>-108</v>
      </c>
      <c r="D94" s="149">
        <f t="shared" si="11"/>
        <v>-253</v>
      </c>
      <c r="E94" s="154">
        <v>-253</v>
      </c>
      <c r="F94" s="154">
        <v>-253</v>
      </c>
      <c r="G94" s="217">
        <f t="shared" si="8"/>
        <v>0</v>
      </c>
      <c r="H94" s="134">
        <f t="shared" si="9"/>
        <v>100</v>
      </c>
    </row>
    <row r="95" spans="1:8" s="297" customFormat="1" ht="93.75">
      <c r="A95" s="296" t="s">
        <v>664</v>
      </c>
      <c r="B95" s="9"/>
      <c r="C95" s="155"/>
      <c r="D95" s="149">
        <f t="shared" si="11"/>
        <v>0</v>
      </c>
      <c r="E95" s="154">
        <v>-11380</v>
      </c>
      <c r="F95" s="154"/>
      <c r="G95" s="217"/>
      <c r="H95" s="134"/>
    </row>
    <row r="96" spans="1:8" s="285" customFormat="1" ht="112.5">
      <c r="A96" s="286" t="s">
        <v>615</v>
      </c>
      <c r="B96" s="9"/>
      <c r="C96" s="155">
        <v>-108</v>
      </c>
      <c r="D96" s="149">
        <f t="shared" si="11"/>
        <v>-217</v>
      </c>
      <c r="E96" s="154">
        <v>-217</v>
      </c>
      <c r="F96" s="154">
        <v>-217</v>
      </c>
      <c r="G96" s="217"/>
      <c r="H96" s="134"/>
    </row>
    <row r="97" spans="1:8" s="297" customFormat="1" ht="112.5">
      <c r="A97" s="296" t="s">
        <v>665</v>
      </c>
      <c r="B97" s="9"/>
      <c r="C97" s="155"/>
      <c r="D97" s="149">
        <f t="shared" si="11"/>
        <v>0</v>
      </c>
      <c r="E97" s="154">
        <v>-6971</v>
      </c>
      <c r="F97" s="154"/>
      <c r="G97" s="217"/>
      <c r="H97" s="134"/>
    </row>
    <row r="98" spans="1:8" ht="97.5" customHeight="1">
      <c r="A98" s="237" t="s">
        <v>616</v>
      </c>
      <c r="B98" s="9"/>
      <c r="C98" s="155"/>
      <c r="D98" s="149">
        <f t="shared" si="11"/>
        <v>-28</v>
      </c>
      <c r="E98" s="154">
        <v>-304</v>
      </c>
      <c r="F98" s="154">
        <v>-28</v>
      </c>
      <c r="G98" s="217">
        <f t="shared" si="8"/>
        <v>276</v>
      </c>
      <c r="H98" s="134">
        <f t="shared" si="9"/>
        <v>9.2105263157894726</v>
      </c>
    </row>
    <row r="99" spans="1:8" s="297" customFormat="1" ht="37.5">
      <c r="A99" s="296" t="s">
        <v>667</v>
      </c>
      <c r="B99" s="9"/>
      <c r="C99" s="155"/>
      <c r="D99" s="149">
        <f t="shared" si="11"/>
        <v>-29</v>
      </c>
      <c r="E99" s="154">
        <v>-90</v>
      </c>
      <c r="F99" s="154">
        <v>-29</v>
      </c>
      <c r="G99" s="217"/>
      <c r="H99" s="134"/>
    </row>
    <row r="100" spans="1:8" s="297" customFormat="1" ht="37.5">
      <c r="A100" s="296" t="s">
        <v>668</v>
      </c>
      <c r="B100" s="9"/>
      <c r="C100" s="155"/>
      <c r="D100" s="149">
        <f t="shared" si="11"/>
        <v>0</v>
      </c>
      <c r="E100" s="154">
        <v>-50</v>
      </c>
      <c r="F100" s="154"/>
      <c r="G100" s="217"/>
      <c r="H100" s="134"/>
    </row>
    <row r="101" spans="1:8" s="297" customFormat="1" ht="37.5">
      <c r="A101" s="296" t="s">
        <v>669</v>
      </c>
      <c r="B101" s="9"/>
      <c r="C101" s="155"/>
      <c r="D101" s="149">
        <f t="shared" si="11"/>
        <v>0</v>
      </c>
      <c r="E101" s="154">
        <v>-150</v>
      </c>
      <c r="F101" s="154"/>
      <c r="G101" s="217"/>
      <c r="H101" s="134"/>
    </row>
    <row r="102" spans="1:8" s="335" customFormat="1" ht="112.5">
      <c r="A102" s="334" t="s">
        <v>695</v>
      </c>
      <c r="B102" s="9"/>
      <c r="C102" s="155"/>
      <c r="D102" s="149">
        <f t="shared" si="11"/>
        <v>0</v>
      </c>
      <c r="E102" s="154">
        <v>-105</v>
      </c>
      <c r="F102" s="154"/>
      <c r="G102" s="217"/>
      <c r="H102" s="134"/>
    </row>
    <row r="103" spans="1:8" s="335" customFormat="1" ht="56.25">
      <c r="A103" s="334" t="s">
        <v>696</v>
      </c>
      <c r="B103" s="9"/>
      <c r="C103" s="155"/>
      <c r="D103" s="149">
        <f t="shared" si="11"/>
        <v>0</v>
      </c>
      <c r="E103" s="154">
        <v>-2500</v>
      </c>
      <c r="F103" s="154"/>
      <c r="G103" s="217"/>
      <c r="H103" s="134"/>
    </row>
    <row r="104" spans="1:8" s="335" customFormat="1">
      <c r="A104" s="334" t="s">
        <v>697</v>
      </c>
      <c r="B104" s="9"/>
      <c r="C104" s="155"/>
      <c r="D104" s="149">
        <f t="shared" si="11"/>
        <v>0</v>
      </c>
      <c r="E104" s="154">
        <v>-30</v>
      </c>
      <c r="F104" s="154"/>
      <c r="G104" s="217"/>
      <c r="H104" s="134"/>
    </row>
    <row r="105" spans="1:8" ht="37.5">
      <c r="A105" s="237" t="s">
        <v>610</v>
      </c>
      <c r="B105" s="9"/>
      <c r="C105" s="155">
        <v>-900</v>
      </c>
      <c r="D105" s="149">
        <f t="shared" si="11"/>
        <v>0</v>
      </c>
      <c r="E105" s="149"/>
      <c r="F105" s="149"/>
      <c r="G105" s="217"/>
      <c r="H105" s="134"/>
    </row>
    <row r="106" spans="1:8" ht="21" customHeight="1">
      <c r="A106" s="237" t="s">
        <v>617</v>
      </c>
      <c r="B106" s="9"/>
      <c r="C106" s="155">
        <v>-4.9000000000000004</v>
      </c>
      <c r="D106" s="149">
        <f t="shared" si="11"/>
        <v>0</v>
      </c>
      <c r="E106" s="149"/>
      <c r="F106" s="149"/>
      <c r="G106" s="217"/>
      <c r="H106" s="134"/>
    </row>
    <row r="107" spans="1:8" s="285" customFormat="1" ht="37.5">
      <c r="A107" s="286" t="s">
        <v>648</v>
      </c>
      <c r="B107" s="9"/>
      <c r="C107" s="155">
        <v>-49.7</v>
      </c>
      <c r="D107" s="149">
        <f t="shared" si="11"/>
        <v>0</v>
      </c>
      <c r="E107" s="149"/>
      <c r="F107" s="149"/>
      <c r="G107" s="217"/>
      <c r="H107" s="134"/>
    </row>
    <row r="108" spans="1:8" s="285" customFormat="1" ht="56.25">
      <c r="A108" s="286" t="s">
        <v>649</v>
      </c>
      <c r="B108" s="9"/>
      <c r="C108" s="155">
        <v>-57</v>
      </c>
      <c r="D108" s="149">
        <f t="shared" si="11"/>
        <v>-137</v>
      </c>
      <c r="E108" s="149">
        <v>-140</v>
      </c>
      <c r="F108" s="149">
        <v>-137</v>
      </c>
      <c r="G108" s="217"/>
      <c r="H108" s="134"/>
    </row>
    <row r="109" spans="1:8" s="297" customFormat="1" ht="56.25">
      <c r="A109" s="296" t="s">
        <v>666</v>
      </c>
      <c r="B109" s="9"/>
      <c r="C109" s="155"/>
      <c r="D109" s="149">
        <f t="shared" si="11"/>
        <v>0</v>
      </c>
      <c r="E109" s="149">
        <v>-5162</v>
      </c>
      <c r="F109" s="149"/>
      <c r="G109" s="217"/>
      <c r="H109" s="134"/>
    </row>
    <row r="110" spans="1:8" ht="56.25">
      <c r="A110" s="237" t="s">
        <v>586</v>
      </c>
      <c r="B110" s="9"/>
      <c r="C110" s="155"/>
      <c r="D110" s="149">
        <f t="shared" si="11"/>
        <v>-2</v>
      </c>
      <c r="E110" s="149">
        <v>-86</v>
      </c>
      <c r="F110" s="149">
        <v>-2</v>
      </c>
      <c r="G110" s="217">
        <f t="shared" si="8"/>
        <v>84</v>
      </c>
      <c r="H110" s="134">
        <f t="shared" si="9"/>
        <v>2.3255813953488373</v>
      </c>
    </row>
    <row r="111" spans="1:8">
      <c r="A111" s="159" t="s">
        <v>404</v>
      </c>
      <c r="B111" s="160">
        <v>3270</v>
      </c>
      <c r="C111" s="149">
        <f>SUM(C112:C115)</f>
        <v>-358.1</v>
      </c>
      <c r="D111" s="149">
        <f>SUM(D112:D115)</f>
        <v>-359</v>
      </c>
      <c r="E111" s="149">
        <f>SUM(E112:E115)</f>
        <v>-499</v>
      </c>
      <c r="F111" s="149">
        <f>SUM(F112:F115)</f>
        <v>-359</v>
      </c>
      <c r="G111" s="220">
        <f t="shared" si="8"/>
        <v>140</v>
      </c>
      <c r="H111" s="161">
        <f t="shared" si="9"/>
        <v>71.943887775551104</v>
      </c>
    </row>
    <row r="112" spans="1:8">
      <c r="A112" s="238" t="s">
        <v>453</v>
      </c>
      <c r="B112" s="9" t="s">
        <v>549</v>
      </c>
      <c r="C112" s="155">
        <v>-174</v>
      </c>
      <c r="D112" s="149">
        <f t="shared" ref="D112:D115" si="12">F112</f>
        <v>-160</v>
      </c>
      <c r="E112" s="149">
        <v>-232</v>
      </c>
      <c r="F112" s="149">
        <v>-160</v>
      </c>
      <c r="G112" s="217">
        <f t="shared" si="8"/>
        <v>72</v>
      </c>
      <c r="H112" s="134">
        <f t="shared" si="9"/>
        <v>68.965517241379317</v>
      </c>
    </row>
    <row r="113" spans="1:8">
      <c r="A113" s="238" t="s">
        <v>454</v>
      </c>
      <c r="B113" s="9" t="s">
        <v>550</v>
      </c>
      <c r="C113" s="155">
        <v>-23</v>
      </c>
      <c r="D113" s="149">
        <f t="shared" si="12"/>
        <v>-120</v>
      </c>
      <c r="E113" s="149">
        <v>-120</v>
      </c>
      <c r="F113" s="149">
        <v>-120</v>
      </c>
      <c r="G113" s="217">
        <f t="shared" si="8"/>
        <v>0</v>
      </c>
      <c r="H113" s="134">
        <f t="shared" si="9"/>
        <v>100</v>
      </c>
    </row>
    <row r="114" spans="1:8">
      <c r="A114" s="237" t="s">
        <v>579</v>
      </c>
      <c r="B114" s="9" t="s">
        <v>551</v>
      </c>
      <c r="C114" s="155">
        <v>-161.1</v>
      </c>
      <c r="D114" s="149">
        <f t="shared" si="12"/>
        <v>-79</v>
      </c>
      <c r="E114" s="149">
        <v>-147</v>
      </c>
      <c r="F114" s="149">
        <v>-79</v>
      </c>
      <c r="G114" s="217">
        <f t="shared" si="8"/>
        <v>68</v>
      </c>
      <c r="H114" s="134">
        <f t="shared" si="9"/>
        <v>53.741496598639458</v>
      </c>
    </row>
    <row r="115" spans="1:8">
      <c r="A115" s="8" t="s">
        <v>51</v>
      </c>
      <c r="B115" s="9" t="s">
        <v>552</v>
      </c>
      <c r="C115" s="155"/>
      <c r="D115" s="149">
        <f t="shared" si="12"/>
        <v>0</v>
      </c>
      <c r="E115" s="154"/>
      <c r="F115" s="154"/>
      <c r="G115" s="217">
        <f t="shared" si="8"/>
        <v>0</v>
      </c>
      <c r="H115" s="134" t="e">
        <f t="shared" si="9"/>
        <v>#DIV/0!</v>
      </c>
    </row>
    <row r="116" spans="1:8">
      <c r="A116" s="159" t="s">
        <v>398</v>
      </c>
      <c r="B116" s="160">
        <v>3280</v>
      </c>
      <c r="C116" s="282">
        <f>SUM(C117:C125)</f>
        <v>-1638.5</v>
      </c>
      <c r="D116" s="149">
        <f>SUM(D117:D125)</f>
        <v>-1702</v>
      </c>
      <c r="E116" s="149">
        <f>SUM(E117:E125)</f>
        <v>-6371</v>
      </c>
      <c r="F116" s="149">
        <f>SUM(F117:F125)</f>
        <v>-1702</v>
      </c>
      <c r="G116" s="220">
        <f t="shared" si="8"/>
        <v>4669</v>
      </c>
      <c r="H116" s="161">
        <f t="shared" si="9"/>
        <v>26.714801444043324</v>
      </c>
    </row>
    <row r="117" spans="1:8">
      <c r="A117" s="238" t="s">
        <v>457</v>
      </c>
      <c r="B117" s="127"/>
      <c r="C117" s="282">
        <v>-132.69999999999999</v>
      </c>
      <c r="D117" s="149">
        <f t="shared" ref="D117:D125" si="13">F117</f>
        <v>-116</v>
      </c>
      <c r="E117" s="149">
        <v>-233</v>
      </c>
      <c r="F117" s="149">
        <v>-116</v>
      </c>
      <c r="G117" s="217">
        <f t="shared" si="8"/>
        <v>117</v>
      </c>
      <c r="H117" s="134">
        <f t="shared" si="9"/>
        <v>49.785407725321889</v>
      </c>
    </row>
    <row r="118" spans="1:8">
      <c r="A118" s="238" t="s">
        <v>553</v>
      </c>
      <c r="B118" s="127"/>
      <c r="C118" s="282">
        <v>-152.9</v>
      </c>
      <c r="D118" s="149">
        <f t="shared" si="13"/>
        <v>-214</v>
      </c>
      <c r="E118" s="149">
        <v>-262</v>
      </c>
      <c r="F118" s="149">
        <v>-214</v>
      </c>
      <c r="G118" s="217">
        <f t="shared" si="8"/>
        <v>48</v>
      </c>
      <c r="H118" s="134">
        <f t="shared" si="9"/>
        <v>81.679389312977108</v>
      </c>
    </row>
    <row r="119" spans="1:8">
      <c r="A119" s="239" t="s">
        <v>542</v>
      </c>
      <c r="B119" s="127"/>
      <c r="C119" s="282">
        <v>-62.2</v>
      </c>
      <c r="D119" s="149">
        <f t="shared" si="13"/>
        <v>-240</v>
      </c>
      <c r="E119" s="149">
        <v>-90</v>
      </c>
      <c r="F119" s="149">
        <v>-240</v>
      </c>
      <c r="G119" s="217">
        <f t="shared" si="8"/>
        <v>-150</v>
      </c>
      <c r="H119" s="134">
        <f t="shared" si="9"/>
        <v>266.66666666666663</v>
      </c>
    </row>
    <row r="120" spans="1:8" ht="37.5">
      <c r="A120" s="238" t="s">
        <v>591</v>
      </c>
      <c r="B120" s="127"/>
      <c r="C120" s="282">
        <v>-535.70000000000005</v>
      </c>
      <c r="D120" s="149">
        <f t="shared" si="13"/>
        <v>-593</v>
      </c>
      <c r="E120" s="149">
        <v>-733</v>
      </c>
      <c r="F120" s="149">
        <v>-593</v>
      </c>
      <c r="G120" s="217">
        <f t="shared" si="8"/>
        <v>140</v>
      </c>
      <c r="H120" s="134">
        <f t="shared" si="9"/>
        <v>80.90040927694406</v>
      </c>
    </row>
    <row r="121" spans="1:8">
      <c r="A121" s="240" t="s">
        <v>611</v>
      </c>
      <c r="B121" s="127"/>
      <c r="C121" s="282">
        <v>-622.6</v>
      </c>
      <c r="D121" s="149">
        <f t="shared" si="13"/>
        <v>0</v>
      </c>
      <c r="E121" s="149">
        <v>-256</v>
      </c>
      <c r="F121" s="149"/>
      <c r="G121" s="217">
        <f t="shared" si="8"/>
        <v>256</v>
      </c>
      <c r="H121" s="134">
        <f t="shared" si="9"/>
        <v>0</v>
      </c>
    </row>
    <row r="122" spans="1:8" s="285" customFormat="1">
      <c r="A122" s="240" t="s">
        <v>578</v>
      </c>
      <c r="B122" s="127"/>
      <c r="C122" s="282">
        <v>-32.4</v>
      </c>
      <c r="D122" s="149">
        <f t="shared" si="13"/>
        <v>0</v>
      </c>
      <c r="E122" s="149"/>
      <c r="F122" s="149"/>
      <c r="G122" s="217"/>
      <c r="H122" s="134"/>
    </row>
    <row r="123" spans="1:8" ht="37.5">
      <c r="A123" s="240" t="s">
        <v>661</v>
      </c>
      <c r="B123" s="127"/>
      <c r="C123" s="282">
        <v>-100</v>
      </c>
      <c r="D123" s="149">
        <f t="shared" si="13"/>
        <v>-89</v>
      </c>
      <c r="E123" s="149">
        <v>-3297</v>
      </c>
      <c r="F123" s="149">
        <v>-89</v>
      </c>
      <c r="G123" s="217">
        <f t="shared" si="8"/>
        <v>3208</v>
      </c>
      <c r="H123" s="134">
        <f t="shared" si="9"/>
        <v>2.6994237185319991</v>
      </c>
    </row>
    <row r="124" spans="1:8" s="297" customFormat="1" ht="37.5">
      <c r="A124" s="240" t="s">
        <v>670</v>
      </c>
      <c r="B124" s="127"/>
      <c r="C124" s="282"/>
      <c r="D124" s="149">
        <f t="shared" si="13"/>
        <v>0</v>
      </c>
      <c r="E124" s="149">
        <v>-150</v>
      </c>
      <c r="F124" s="149"/>
      <c r="G124" s="217"/>
      <c r="H124" s="134"/>
    </row>
    <row r="125" spans="1:8" ht="37.5">
      <c r="A125" s="240" t="s">
        <v>570</v>
      </c>
      <c r="B125" s="127"/>
      <c r="C125" s="282"/>
      <c r="D125" s="149">
        <f t="shared" si="13"/>
        <v>-450</v>
      </c>
      <c r="E125" s="149">
        <v>-1350</v>
      </c>
      <c r="F125" s="149">
        <v>-450</v>
      </c>
      <c r="G125" s="217">
        <f>F125-E125</f>
        <v>900</v>
      </c>
      <c r="H125" s="134">
        <f>(F125/E125)*100</f>
        <v>33.333333333333329</v>
      </c>
    </row>
    <row r="126" spans="1:8">
      <c r="A126" s="132" t="s">
        <v>121</v>
      </c>
      <c r="B126" s="126">
        <v>3295</v>
      </c>
      <c r="C126" s="256">
        <f>SUM(C63,C68)</f>
        <v>-21010.999999999996</v>
      </c>
      <c r="D126" s="180">
        <f>SUM(D63,D68)</f>
        <v>24497</v>
      </c>
      <c r="E126" s="157">
        <f>SUM(E63,E68)</f>
        <v>-60761</v>
      </c>
      <c r="F126" s="157">
        <f>SUM(F63,F68)</f>
        <v>24497</v>
      </c>
      <c r="G126" s="219">
        <f t="shared" si="8"/>
        <v>85258</v>
      </c>
      <c r="H126" s="135">
        <f t="shared" si="9"/>
        <v>-40.316979641546382</v>
      </c>
    </row>
    <row r="127" spans="1:8">
      <c r="A127" s="177" t="s">
        <v>294</v>
      </c>
      <c r="B127" s="178"/>
      <c r="C127" s="198"/>
      <c r="D127" s="199"/>
      <c r="E127" s="199">
        <f>SUM(E128,E129,E133)</f>
        <v>0</v>
      </c>
      <c r="F127" s="199"/>
      <c r="G127" s="221">
        <f t="shared" si="8"/>
        <v>0</v>
      </c>
      <c r="H127" s="179" t="e">
        <f t="shared" si="9"/>
        <v>#DIV/0!</v>
      </c>
    </row>
    <row r="128" spans="1:8">
      <c r="A128" s="10" t="s">
        <v>261</v>
      </c>
      <c r="B128" s="11">
        <v>3300</v>
      </c>
      <c r="C128" s="180">
        <f>SUM(C129,C130,C134)</f>
        <v>0</v>
      </c>
      <c r="D128" s="157">
        <v>0</v>
      </c>
      <c r="E128" s="157"/>
      <c r="F128" s="157">
        <f>SUM(F129,F130,F134)</f>
        <v>0</v>
      </c>
      <c r="G128" s="219"/>
      <c r="H128" s="135"/>
    </row>
    <row r="129" spans="1:8">
      <c r="A129" s="8" t="s">
        <v>285</v>
      </c>
      <c r="B129" s="9">
        <v>3310</v>
      </c>
      <c r="C129" s="155"/>
      <c r="D129" s="156"/>
      <c r="E129" s="156">
        <f>SUM(E130:E132)</f>
        <v>0</v>
      </c>
      <c r="F129" s="156"/>
      <c r="G129" s="217"/>
      <c r="H129" s="134"/>
    </row>
    <row r="130" spans="1:8">
      <c r="A130" s="8" t="s">
        <v>270</v>
      </c>
      <c r="B130" s="9">
        <v>3320</v>
      </c>
      <c r="C130" s="155">
        <f>SUM(C131:C133)</f>
        <v>0</v>
      </c>
      <c r="D130" s="156">
        <v>0</v>
      </c>
      <c r="E130" s="156"/>
      <c r="F130" s="156">
        <f>SUM(F131:F133)</f>
        <v>0</v>
      </c>
      <c r="G130" s="217"/>
      <c r="H130" s="134"/>
    </row>
    <row r="131" spans="1:8">
      <c r="A131" s="8" t="s">
        <v>83</v>
      </c>
      <c r="B131" s="6">
        <v>3321</v>
      </c>
      <c r="C131" s="155"/>
      <c r="D131" s="156"/>
      <c r="E131" s="156"/>
      <c r="F131" s="156"/>
      <c r="G131" s="217"/>
      <c r="H131" s="134"/>
    </row>
    <row r="132" spans="1:8">
      <c r="A132" s="8" t="s">
        <v>86</v>
      </c>
      <c r="B132" s="6">
        <v>3322</v>
      </c>
      <c r="C132" s="155"/>
      <c r="D132" s="156"/>
      <c r="E132" s="156"/>
      <c r="F132" s="156"/>
      <c r="G132" s="217"/>
      <c r="H132" s="134"/>
    </row>
    <row r="133" spans="1:8">
      <c r="A133" s="8" t="s">
        <v>105</v>
      </c>
      <c r="B133" s="6">
        <v>3323</v>
      </c>
      <c r="C133" s="155"/>
      <c r="D133" s="156"/>
      <c r="E133" s="156"/>
      <c r="F133" s="156"/>
      <c r="G133" s="217"/>
      <c r="H133" s="134"/>
    </row>
    <row r="134" spans="1:8">
      <c r="A134" s="8" t="s">
        <v>401</v>
      </c>
      <c r="B134" s="9">
        <v>3340</v>
      </c>
      <c r="C134" s="155"/>
      <c r="D134" s="156"/>
      <c r="E134" s="156"/>
      <c r="F134" s="156"/>
      <c r="G134" s="217"/>
      <c r="H134" s="134"/>
    </row>
    <row r="135" spans="1:8">
      <c r="A135" s="10" t="s">
        <v>275</v>
      </c>
      <c r="B135" s="11">
        <v>3345</v>
      </c>
      <c r="C135" s="180">
        <f>SUM(C136,C137,C141,C142)</f>
        <v>0</v>
      </c>
      <c r="D135" s="157"/>
      <c r="E135" s="157" t="s">
        <v>229</v>
      </c>
      <c r="F135" s="157"/>
      <c r="G135" s="219"/>
      <c r="H135" s="135"/>
    </row>
    <row r="136" spans="1:8">
      <c r="A136" s="8" t="s">
        <v>286</v>
      </c>
      <c r="B136" s="9">
        <v>3350</v>
      </c>
      <c r="C136" s="155" t="s">
        <v>229</v>
      </c>
      <c r="D136" s="156" t="s">
        <v>229</v>
      </c>
      <c r="E136" s="156">
        <f>SUM(E137:E139)</f>
        <v>0</v>
      </c>
      <c r="F136" s="156" t="s">
        <v>229</v>
      </c>
      <c r="G136" s="217"/>
      <c r="H136" s="134"/>
    </row>
    <row r="137" spans="1:8">
      <c r="A137" s="8" t="s">
        <v>272</v>
      </c>
      <c r="B137" s="6">
        <v>3360</v>
      </c>
      <c r="C137" s="155">
        <f>SUM(C138:C140)</f>
        <v>0</v>
      </c>
      <c r="D137" s="156">
        <v>0</v>
      </c>
      <c r="E137" s="156" t="s">
        <v>229</v>
      </c>
      <c r="F137" s="156">
        <f>SUM(F138:F140)</f>
        <v>0</v>
      </c>
      <c r="G137" s="217"/>
      <c r="H137" s="134"/>
    </row>
    <row r="138" spans="1:8">
      <c r="A138" s="8" t="s">
        <v>83</v>
      </c>
      <c r="B138" s="6">
        <v>3361</v>
      </c>
      <c r="C138" s="155" t="s">
        <v>229</v>
      </c>
      <c r="D138" s="156" t="s">
        <v>229</v>
      </c>
      <c r="E138" s="156" t="s">
        <v>229</v>
      </c>
      <c r="F138" s="156" t="s">
        <v>229</v>
      </c>
      <c r="G138" s="217"/>
      <c r="H138" s="134"/>
    </row>
    <row r="139" spans="1:8">
      <c r="A139" s="8" t="s">
        <v>86</v>
      </c>
      <c r="B139" s="6">
        <v>3362</v>
      </c>
      <c r="C139" s="155" t="s">
        <v>229</v>
      </c>
      <c r="D139" s="156" t="s">
        <v>229</v>
      </c>
      <c r="E139" s="156" t="s">
        <v>229</v>
      </c>
      <c r="F139" s="156" t="s">
        <v>229</v>
      </c>
      <c r="G139" s="217"/>
      <c r="H139" s="134"/>
    </row>
    <row r="140" spans="1:8">
      <c r="A140" s="8" t="s">
        <v>105</v>
      </c>
      <c r="B140" s="6">
        <v>3363</v>
      </c>
      <c r="C140" s="155" t="s">
        <v>229</v>
      </c>
      <c r="D140" s="156" t="s">
        <v>229</v>
      </c>
      <c r="E140" s="156" t="s">
        <v>229</v>
      </c>
      <c r="F140" s="156" t="s">
        <v>229</v>
      </c>
      <c r="G140" s="217"/>
      <c r="H140" s="134"/>
    </row>
    <row r="141" spans="1:8">
      <c r="A141" s="8" t="s">
        <v>269</v>
      </c>
      <c r="B141" s="6">
        <v>3370</v>
      </c>
      <c r="C141" s="155" t="s">
        <v>229</v>
      </c>
      <c r="D141" s="156" t="s">
        <v>229</v>
      </c>
      <c r="E141" s="156"/>
      <c r="F141" s="156" t="s">
        <v>229</v>
      </c>
      <c r="G141" s="217"/>
      <c r="H141" s="134"/>
    </row>
    <row r="142" spans="1:8">
      <c r="A142" s="8" t="s">
        <v>455</v>
      </c>
      <c r="B142" s="9">
        <v>3380</v>
      </c>
      <c r="C142" s="155" t="s">
        <v>229</v>
      </c>
      <c r="D142" s="156"/>
      <c r="E142" s="156"/>
      <c r="F142" s="156"/>
      <c r="G142" s="217"/>
      <c r="H142" s="134"/>
    </row>
    <row r="143" spans="1:8">
      <c r="A143" s="10" t="s">
        <v>122</v>
      </c>
      <c r="B143" s="11">
        <v>3395</v>
      </c>
      <c r="C143" s="180">
        <f>SUM(C128,C135)</f>
        <v>0</v>
      </c>
      <c r="D143" s="157">
        <v>0</v>
      </c>
      <c r="E143" s="157">
        <f>SUM(E128,E135)</f>
        <v>0</v>
      </c>
      <c r="F143" s="157">
        <f>SUM(F128,F135)</f>
        <v>0</v>
      </c>
      <c r="G143" s="219"/>
      <c r="H143" s="135"/>
    </row>
    <row r="144" spans="1:8">
      <c r="A144" s="173" t="s">
        <v>31</v>
      </c>
      <c r="B144" s="174">
        <v>3400</v>
      </c>
      <c r="C144" s="180">
        <f>SUM(C61,C126,C143)</f>
        <v>-4844.200000000008</v>
      </c>
      <c r="D144" s="157">
        <f>SUM(D61,D126,D143)</f>
        <v>43924</v>
      </c>
      <c r="E144" s="157">
        <f>SUM(E61,E126,E143)</f>
        <v>39757</v>
      </c>
      <c r="F144" s="157">
        <f>SUM(F61,F126,F143)</f>
        <v>43924</v>
      </c>
      <c r="G144" s="216">
        <f>F144-E144</f>
        <v>4167</v>
      </c>
      <c r="H144" s="166">
        <f>(F144/E144)*100</f>
        <v>110.48117312674496</v>
      </c>
    </row>
    <row r="145" spans="1:8">
      <c r="A145" s="8" t="s">
        <v>295</v>
      </c>
      <c r="B145" s="9">
        <v>3405</v>
      </c>
      <c r="C145" s="155">
        <v>63005.2</v>
      </c>
      <c r="D145" s="156">
        <v>58161</v>
      </c>
      <c r="E145" s="156">
        <v>27072</v>
      </c>
      <c r="F145" s="156">
        <v>58161</v>
      </c>
      <c r="G145" s="217">
        <f>F145-E145</f>
        <v>31089</v>
      </c>
      <c r="H145" s="134">
        <f>(F145/E145)*100</f>
        <v>214.83820921985816</v>
      </c>
    </row>
    <row r="146" spans="1:8">
      <c r="A146" s="82" t="s">
        <v>124</v>
      </c>
      <c r="B146" s="9">
        <v>3410</v>
      </c>
      <c r="C146" s="155"/>
      <c r="D146" s="156"/>
      <c r="E146" s="156"/>
      <c r="F146" s="156"/>
      <c r="G146" s="217"/>
      <c r="H146" s="134"/>
    </row>
    <row r="147" spans="1:8">
      <c r="A147" s="8" t="s">
        <v>296</v>
      </c>
      <c r="B147" s="9">
        <v>3415</v>
      </c>
      <c r="C147" s="155">
        <f>SUM(C145,C144,C146)</f>
        <v>58160.999999999985</v>
      </c>
      <c r="D147" s="156">
        <f>SUM(D145,D144,D146)</f>
        <v>102085</v>
      </c>
      <c r="E147" s="156">
        <f>SUM(E144,E143,E145)</f>
        <v>66829</v>
      </c>
      <c r="F147" s="156">
        <f>SUM(F145,F144,F146)</f>
        <v>102085</v>
      </c>
      <c r="G147" s="217">
        <f>F147-E147</f>
        <v>35256</v>
      </c>
      <c r="H147" s="134">
        <f>(F147/E147)*100</f>
        <v>152.75554025946821</v>
      </c>
    </row>
    <row r="148" spans="1:8" s="16" customFormat="1">
      <c r="A148" s="2"/>
      <c r="B148" s="33"/>
      <c r="C148" s="33"/>
      <c r="D148" s="33"/>
      <c r="E148" s="79"/>
      <c r="F148" s="33"/>
      <c r="G148" s="222"/>
      <c r="H148" s="33"/>
    </row>
    <row r="149" spans="1:8" s="16" customFormat="1">
      <c r="A149" s="2"/>
      <c r="B149" s="33"/>
      <c r="C149" s="33"/>
      <c r="D149" s="247"/>
      <c r="E149" s="79"/>
      <c r="F149" s="260">
        <f>D147-F147</f>
        <v>0</v>
      </c>
      <c r="G149" s="222"/>
      <c r="H149" s="33"/>
    </row>
    <row r="150" spans="1:8" s="16" customFormat="1">
      <c r="A150" s="2"/>
      <c r="B150" s="33"/>
      <c r="C150" s="33"/>
      <c r="D150" s="33"/>
      <c r="E150" s="79"/>
      <c r="F150" s="247"/>
      <c r="G150" s="222"/>
      <c r="H150" s="33"/>
    </row>
    <row r="151" spans="1:8" s="16" customFormat="1">
      <c r="A151" s="2"/>
      <c r="B151" s="33"/>
      <c r="C151" s="33"/>
      <c r="D151" s="33"/>
      <c r="E151" s="79"/>
      <c r="F151" s="33"/>
      <c r="G151" s="222"/>
      <c r="H151" s="33"/>
    </row>
    <row r="152" spans="1:8" s="16" customFormat="1">
      <c r="A152" s="2"/>
      <c r="B152" s="33"/>
      <c r="C152" s="33"/>
      <c r="D152" s="33"/>
      <c r="E152" s="79"/>
      <c r="F152" s="33"/>
      <c r="G152" s="222"/>
      <c r="H152" s="33"/>
    </row>
    <row r="153" spans="1:8" s="3" customFormat="1">
      <c r="A153" s="55" t="s">
        <v>597</v>
      </c>
      <c r="B153" s="1"/>
      <c r="C153" s="399" t="s">
        <v>163</v>
      </c>
      <c r="D153" s="399"/>
      <c r="F153" s="391" t="s">
        <v>598</v>
      </c>
      <c r="G153" s="391"/>
      <c r="H153" s="391"/>
    </row>
    <row r="154" spans="1:8">
      <c r="A154" s="74"/>
      <c r="B154" s="3"/>
      <c r="C154" s="394" t="s">
        <v>72</v>
      </c>
      <c r="D154" s="394"/>
      <c r="F154" s="398"/>
      <c r="G154" s="398"/>
      <c r="H154" s="398"/>
    </row>
  </sheetData>
  <mergeCells count="9">
    <mergeCell ref="C154:D154"/>
    <mergeCell ref="A1:H1"/>
    <mergeCell ref="A5:A6"/>
    <mergeCell ref="B5:B6"/>
    <mergeCell ref="C5:D5"/>
    <mergeCell ref="E5:H5"/>
    <mergeCell ref="F154:H154"/>
    <mergeCell ref="C153:D153"/>
    <mergeCell ref="F153:H153"/>
  </mergeCells>
  <phoneticPr fontId="4" type="noConversion"/>
  <conditionalFormatting sqref="F149">
    <cfRule type="cellIs" dxfId="0" priority="1" stopIfTrue="1" operator="notEqual">
      <formula>0</formula>
    </cfRule>
  </conditionalFormatting>
  <pageMargins left="0.25" right="0.25" top="0.75" bottom="0.75" header="0.3" footer="0.3"/>
  <pageSetup paperSize="9" scale="65" fitToHeight="0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26 H9:H10 G33:H43 G27:H27 H15:H1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F41"/>
  </sheetPr>
  <dimension ref="A1:O183"/>
  <sheetViews>
    <sheetView zoomScale="75" zoomScaleNormal="100" zoomScaleSheetLayoutView="55" workbookViewId="0">
      <selection activeCell="J13" sqref="J13"/>
    </sheetView>
  </sheetViews>
  <sheetFormatPr defaultRowHeight="18.75"/>
  <cols>
    <col min="1" max="1" width="82.28515625" style="3" customWidth="1"/>
    <col min="2" max="2" width="9.85546875" style="25" customWidth="1"/>
    <col min="3" max="7" width="25.7109375" style="25" customWidth="1"/>
    <col min="8" max="8" width="21.140625" style="25" customWidth="1"/>
    <col min="9" max="9" width="9.5703125" style="3" customWidth="1"/>
    <col min="10" max="10" width="9.85546875" style="3" customWidth="1"/>
    <col min="11" max="11" width="12.140625" style="3" bestFit="1" customWidth="1"/>
    <col min="12" max="16384" width="9.140625" style="3"/>
  </cols>
  <sheetData>
    <row r="1" spans="1:15">
      <c r="A1" s="391" t="s">
        <v>147</v>
      </c>
      <c r="B1" s="391"/>
      <c r="C1" s="391"/>
      <c r="D1" s="391"/>
      <c r="E1" s="391"/>
      <c r="F1" s="391"/>
      <c r="G1" s="391"/>
      <c r="H1" s="391"/>
    </row>
    <row r="2" spans="1:15">
      <c r="A2" s="438"/>
      <c r="B2" s="438"/>
      <c r="C2" s="438"/>
      <c r="D2" s="438"/>
      <c r="E2" s="438"/>
      <c r="F2" s="438"/>
      <c r="G2" s="438"/>
      <c r="H2" s="438"/>
    </row>
    <row r="3" spans="1:15" ht="43.5" customHeight="1">
      <c r="A3" s="436" t="s">
        <v>194</v>
      </c>
      <c r="B3" s="389" t="s">
        <v>18</v>
      </c>
      <c r="C3" s="389" t="s">
        <v>158</v>
      </c>
      <c r="D3" s="389"/>
      <c r="E3" s="433" t="s">
        <v>675</v>
      </c>
      <c r="F3" s="434"/>
      <c r="G3" s="434"/>
      <c r="H3" s="435"/>
    </row>
    <row r="4" spans="1:15">
      <c r="A4" s="437"/>
      <c r="B4" s="389"/>
      <c r="C4" s="268" t="s">
        <v>182</v>
      </c>
      <c r="D4" s="322" t="s">
        <v>183</v>
      </c>
      <c r="E4" s="268" t="s">
        <v>184</v>
      </c>
      <c r="F4" s="268" t="s">
        <v>170</v>
      </c>
      <c r="G4" s="69" t="s">
        <v>189</v>
      </c>
      <c r="H4" s="69" t="s">
        <v>190</v>
      </c>
    </row>
    <row r="5" spans="1:15" ht="15.75" customHeight="1">
      <c r="A5" s="6">
        <v>1</v>
      </c>
      <c r="B5" s="7">
        <v>2</v>
      </c>
      <c r="C5" s="270">
        <v>3</v>
      </c>
      <c r="D5" s="268">
        <v>4</v>
      </c>
      <c r="E5" s="270">
        <v>5</v>
      </c>
      <c r="F5" s="268">
        <v>6</v>
      </c>
      <c r="G5" s="270">
        <v>7</v>
      </c>
      <c r="H5" s="268">
        <v>8</v>
      </c>
    </row>
    <row r="6" spans="1:15" s="5" customFormat="1" ht="37.5">
      <c r="A6" s="10" t="s">
        <v>75</v>
      </c>
      <c r="B6" s="62">
        <v>4000</v>
      </c>
      <c r="C6" s="290">
        <f>SUM(C7:C12)</f>
        <v>18996</v>
      </c>
      <c r="D6" s="313">
        <f>SUM(D7:D12)</f>
        <v>23155</v>
      </c>
      <c r="E6" s="313">
        <f>SUM(E7:E12)</f>
        <v>52211</v>
      </c>
      <c r="F6" s="313">
        <f>SUM(F7:F12)</f>
        <v>23155</v>
      </c>
      <c r="G6" s="283">
        <f>F6-E6</f>
        <v>-29056</v>
      </c>
      <c r="H6" s="242">
        <f t="shared" ref="H6:H11" si="0">(F6/E6)*100</f>
        <v>44.348891995939553</v>
      </c>
      <c r="K6" s="314"/>
      <c r="M6" s="316"/>
      <c r="N6" s="258"/>
    </row>
    <row r="7" spans="1:15" ht="20.100000000000001" customHeight="1">
      <c r="A7" s="8" t="s">
        <v>1</v>
      </c>
      <c r="B7" s="63" t="s">
        <v>152</v>
      </c>
      <c r="C7" s="287">
        <v>954.6</v>
      </c>
      <c r="D7" s="312">
        <f>F7</f>
        <v>932</v>
      </c>
      <c r="E7" s="312">
        <f>'6.2. Інша інфо_2'!Y32</f>
        <v>18521</v>
      </c>
      <c r="F7" s="312">
        <f>'6.2. Інша інфо_2'!Z32</f>
        <v>932</v>
      </c>
      <c r="G7" s="149">
        <f t="shared" ref="G7:G12" si="1">F7-E7</f>
        <v>-17589</v>
      </c>
      <c r="H7" s="242">
        <f t="shared" si="0"/>
        <v>5.0321256951568492</v>
      </c>
      <c r="K7" s="292"/>
      <c r="M7" s="316"/>
      <c r="N7" s="258"/>
    </row>
    <row r="8" spans="1:15" ht="20.100000000000001" customHeight="1">
      <c r="A8" s="8" t="s">
        <v>2</v>
      </c>
      <c r="B8" s="62">
        <v>4020</v>
      </c>
      <c r="C8" s="287">
        <v>15893.9</v>
      </c>
      <c r="D8" s="312">
        <f t="shared" ref="D8:D11" si="2">F8</f>
        <v>19570</v>
      </c>
      <c r="E8" s="312">
        <f>'6.2. Інша інфо_2'!Y45</f>
        <v>26918</v>
      </c>
      <c r="F8" s="312">
        <f>'6.2. Інша інфо_2'!Z45</f>
        <v>19570</v>
      </c>
      <c r="G8" s="149">
        <f t="shared" si="1"/>
        <v>-7348</v>
      </c>
      <c r="H8" s="242">
        <f t="shared" si="0"/>
        <v>72.702281001560294</v>
      </c>
      <c r="K8" s="315"/>
      <c r="M8" s="316"/>
      <c r="N8" s="258"/>
      <c r="O8" s="22"/>
    </row>
    <row r="9" spans="1:15" ht="19.5" customHeight="1">
      <c r="A9" s="8" t="s">
        <v>30</v>
      </c>
      <c r="B9" s="63">
        <v>4030</v>
      </c>
      <c r="C9" s="287">
        <v>1724.1</v>
      </c>
      <c r="D9" s="312">
        <f t="shared" si="2"/>
        <v>1077</v>
      </c>
      <c r="E9" s="312">
        <f>'6.2. Інша інфо_2'!Y57</f>
        <v>1597</v>
      </c>
      <c r="F9" s="312">
        <f>'6.2. Інша інфо_2'!Z57</f>
        <v>1077</v>
      </c>
      <c r="G9" s="149">
        <f t="shared" si="1"/>
        <v>-520</v>
      </c>
      <c r="H9" s="242">
        <f t="shared" si="0"/>
        <v>67.43894802755166</v>
      </c>
      <c r="K9" s="315"/>
      <c r="M9" s="316"/>
      <c r="N9" s="258"/>
    </row>
    <row r="10" spans="1:15" ht="20.100000000000001" customHeight="1">
      <c r="A10" s="8" t="s">
        <v>3</v>
      </c>
      <c r="B10" s="62">
        <v>4040</v>
      </c>
      <c r="C10" s="287">
        <v>323.39999999999998</v>
      </c>
      <c r="D10" s="312">
        <f t="shared" si="2"/>
        <v>379</v>
      </c>
      <c r="E10" s="312">
        <f>'6.2. Інша інфо_2'!Y63</f>
        <v>625</v>
      </c>
      <c r="F10" s="312">
        <f>'6.2. Інша інфо_2'!Z63</f>
        <v>379</v>
      </c>
      <c r="G10" s="149">
        <f t="shared" si="1"/>
        <v>-246</v>
      </c>
      <c r="H10" s="242">
        <f t="shared" si="0"/>
        <v>60.640000000000008</v>
      </c>
      <c r="K10" s="292"/>
      <c r="M10" s="316"/>
      <c r="N10" s="258"/>
    </row>
    <row r="11" spans="1:15" ht="37.5">
      <c r="A11" s="8" t="s">
        <v>64</v>
      </c>
      <c r="B11" s="63">
        <v>4050</v>
      </c>
      <c r="C11" s="287">
        <v>100</v>
      </c>
      <c r="D11" s="312">
        <f t="shared" si="2"/>
        <v>1197</v>
      </c>
      <c r="E11" s="312">
        <f>'6.2. Інша інфо_2'!Y67</f>
        <v>4550</v>
      </c>
      <c r="F11" s="312">
        <f>'6.2. Інша інфо_2'!AD67</f>
        <v>1197</v>
      </c>
      <c r="G11" s="104">
        <f t="shared" si="1"/>
        <v>-3353</v>
      </c>
      <c r="H11" s="242">
        <f t="shared" si="0"/>
        <v>26.30769230769231</v>
      </c>
      <c r="K11" s="292"/>
      <c r="M11" s="316"/>
    </row>
    <row r="12" spans="1:15">
      <c r="A12" s="8" t="s">
        <v>252</v>
      </c>
      <c r="B12" s="63">
        <v>4060</v>
      </c>
      <c r="C12" s="104"/>
      <c r="D12" s="104"/>
      <c r="E12" s="104"/>
      <c r="F12" s="104"/>
      <c r="G12" s="104">
        <f t="shared" si="1"/>
        <v>0</v>
      </c>
      <c r="H12" s="134"/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ht="39.75" customHeight="1">
      <c r="A16" s="55" t="s">
        <v>597</v>
      </c>
      <c r="B16" s="1"/>
      <c r="C16" s="399" t="s">
        <v>163</v>
      </c>
      <c r="D16" s="399"/>
      <c r="E16" s="79"/>
      <c r="F16" s="391" t="s">
        <v>599</v>
      </c>
      <c r="G16" s="391"/>
      <c r="H16" s="391"/>
    </row>
    <row r="17" spans="1:8" s="2" customFormat="1">
      <c r="A17" s="25"/>
      <c r="B17" s="3"/>
      <c r="C17" s="394" t="s">
        <v>72</v>
      </c>
      <c r="D17" s="394"/>
      <c r="E17" s="3"/>
      <c r="F17" s="398"/>
      <c r="G17" s="398"/>
      <c r="H17" s="398"/>
    </row>
    <row r="18" spans="1:8">
      <c r="A18" s="51"/>
    </row>
    <row r="19" spans="1:8">
      <c r="A19" s="51"/>
    </row>
    <row r="20" spans="1:8">
      <c r="A20" s="51"/>
    </row>
    <row r="21" spans="1:8">
      <c r="A21" s="51"/>
    </row>
    <row r="22" spans="1:8">
      <c r="A22" s="51"/>
    </row>
    <row r="23" spans="1:8">
      <c r="A23" s="51"/>
    </row>
    <row r="24" spans="1:8">
      <c r="A24" s="51"/>
    </row>
    <row r="25" spans="1:8">
      <c r="A25" s="51"/>
    </row>
    <row r="26" spans="1:8">
      <c r="A26" s="51"/>
    </row>
    <row r="27" spans="1:8">
      <c r="A27" s="51"/>
    </row>
    <row r="28" spans="1:8">
      <c r="A28" s="51"/>
    </row>
    <row r="29" spans="1:8">
      <c r="A29" s="51"/>
    </row>
    <row r="30" spans="1:8">
      <c r="A30" s="51"/>
    </row>
    <row r="31" spans="1:8">
      <c r="A31" s="51"/>
    </row>
    <row r="32" spans="1:8">
      <c r="A32" s="51"/>
    </row>
    <row r="33" spans="1:1">
      <c r="A33" s="51"/>
    </row>
    <row r="34" spans="1:1">
      <c r="A34" s="51"/>
    </row>
    <row r="35" spans="1:1">
      <c r="A35" s="51"/>
    </row>
    <row r="36" spans="1:1">
      <c r="A36" s="51"/>
    </row>
    <row r="37" spans="1:1">
      <c r="A37" s="51"/>
    </row>
    <row r="38" spans="1:1">
      <c r="A38" s="51"/>
    </row>
    <row r="39" spans="1:1">
      <c r="A39" s="51"/>
    </row>
    <row r="40" spans="1:1">
      <c r="A40" s="51"/>
    </row>
    <row r="41" spans="1:1">
      <c r="A41" s="51"/>
    </row>
    <row r="42" spans="1:1">
      <c r="A42" s="51"/>
    </row>
    <row r="43" spans="1:1">
      <c r="A43" s="51"/>
    </row>
    <row r="44" spans="1:1">
      <c r="A44" s="51"/>
    </row>
    <row r="45" spans="1:1">
      <c r="A45" s="51"/>
    </row>
    <row r="46" spans="1:1">
      <c r="A46" s="51"/>
    </row>
    <row r="47" spans="1:1">
      <c r="A47" s="51"/>
    </row>
    <row r="48" spans="1:1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F41"/>
    <pageSetUpPr fitToPage="1"/>
  </sheetPr>
  <dimension ref="A1:K28"/>
  <sheetViews>
    <sheetView zoomScale="70" zoomScaleNormal="70" zoomScaleSheetLayoutView="65" workbookViewId="0">
      <pane xSplit="1" ySplit="5" topLeftCell="B18" activePane="bottomRight" state="frozen"/>
      <selection activeCell="L67" sqref="L67:M67"/>
      <selection pane="topRight" activeCell="L67" sqref="L67:M67"/>
      <selection pane="bottomLeft" activeCell="L67" sqref="L67:M67"/>
      <selection pane="bottomRight" activeCell="K7" sqref="K7:K19"/>
    </sheetView>
  </sheetViews>
  <sheetFormatPr defaultRowHeight="12.75"/>
  <cols>
    <col min="1" max="1" width="95" style="32" customWidth="1"/>
    <col min="2" max="2" width="19.42578125" style="32" customWidth="1"/>
    <col min="3" max="7" width="26" style="32" customWidth="1"/>
    <col min="8" max="8" width="81.5703125" style="32" customWidth="1"/>
    <col min="9" max="9" width="9.5703125" style="32" customWidth="1"/>
    <col min="10" max="10" width="9.140625" style="32"/>
    <col min="11" max="11" width="27.140625" style="32" customWidth="1"/>
    <col min="12" max="16384" width="9.140625" style="32"/>
  </cols>
  <sheetData>
    <row r="1" spans="1:11" ht="19.5" customHeight="1">
      <c r="A1" s="439" t="s">
        <v>148</v>
      </c>
      <c r="B1" s="439"/>
      <c r="C1" s="439"/>
      <c r="D1" s="439"/>
      <c r="E1" s="439"/>
      <c r="F1" s="439"/>
      <c r="G1" s="439"/>
      <c r="H1" s="439"/>
    </row>
    <row r="2" spans="1:11" ht="16.5" customHeight="1"/>
    <row r="3" spans="1:11" ht="49.5" customHeight="1">
      <c r="A3" s="440" t="s">
        <v>194</v>
      </c>
      <c r="B3" s="440" t="s">
        <v>0</v>
      </c>
      <c r="C3" s="440" t="s">
        <v>89</v>
      </c>
      <c r="D3" s="389" t="s">
        <v>158</v>
      </c>
      <c r="E3" s="389"/>
      <c r="F3" s="389" t="s">
        <v>675</v>
      </c>
      <c r="G3" s="389"/>
      <c r="H3" s="440" t="s">
        <v>212</v>
      </c>
    </row>
    <row r="4" spans="1:11" ht="63" customHeight="1">
      <c r="A4" s="441"/>
      <c r="B4" s="441"/>
      <c r="C4" s="441"/>
      <c r="D4" s="7" t="s">
        <v>182</v>
      </c>
      <c r="E4" s="7" t="s">
        <v>183</v>
      </c>
      <c r="F4" s="7" t="s">
        <v>182</v>
      </c>
      <c r="G4" s="7" t="s">
        <v>183</v>
      </c>
      <c r="H4" s="441"/>
    </row>
    <row r="5" spans="1:11" s="60" customFormat="1" ht="18.7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11" s="60" customFormat="1" ht="24.95" customHeight="1">
      <c r="A6" s="59" t="s">
        <v>132</v>
      </c>
      <c r="B6" s="59"/>
      <c r="C6" s="42"/>
      <c r="D6" s="310"/>
      <c r="E6" s="310"/>
      <c r="F6" s="42"/>
      <c r="G6" s="42"/>
      <c r="H6" s="42"/>
    </row>
    <row r="7" spans="1:11" ht="56.25">
      <c r="A7" s="8" t="s">
        <v>421</v>
      </c>
      <c r="B7" s="7">
        <v>5000</v>
      </c>
      <c r="C7" s="99" t="s">
        <v>221</v>
      </c>
      <c r="D7" s="311">
        <f>('Осн. фін. пок.'!C36/'Осн. фін. пок.'!C34)*100</f>
        <v>-17777.95275590551</v>
      </c>
      <c r="E7" s="311">
        <f>('Осн. фін. пок.'!D36/'Осн. фін. пок.'!D34)*100</f>
        <v>-18540.46875</v>
      </c>
      <c r="F7" s="311">
        <f>D7</f>
        <v>-17777.95275590551</v>
      </c>
      <c r="G7" s="311">
        <f>('Осн. фін. пок.'!F36/'Осн. фін. пок.'!F34)*100</f>
        <v>-18540.46875</v>
      </c>
      <c r="H7" s="89"/>
      <c r="K7" s="343"/>
    </row>
    <row r="8" spans="1:11" ht="56.25">
      <c r="A8" s="8" t="s">
        <v>422</v>
      </c>
      <c r="B8" s="7">
        <v>5010</v>
      </c>
      <c r="C8" s="99" t="s">
        <v>221</v>
      </c>
      <c r="D8" s="311">
        <f>('Осн. фін. пок.'!C51/'Осн. фін. пок.'!C34)*100</f>
        <v>2269.0419947506566</v>
      </c>
      <c r="E8" s="311">
        <f>('Осн. фін. пок.'!D51/'Осн. фін. пок.'!D34)*100</f>
        <v>1416.09375</v>
      </c>
      <c r="F8" s="311">
        <f t="shared" ref="F8:F19" si="0">D8</f>
        <v>2269.0419947506566</v>
      </c>
      <c r="G8" s="311">
        <f>('Осн. фін. пок.'!F51/'Осн. фін. пок.'!F34)*100</f>
        <v>1416.09375</v>
      </c>
      <c r="H8" s="89"/>
      <c r="K8" s="343"/>
    </row>
    <row r="9" spans="1:11" ht="42.75" customHeight="1">
      <c r="A9" s="31" t="s">
        <v>423</v>
      </c>
      <c r="B9" s="7">
        <v>5020</v>
      </c>
      <c r="C9" s="99" t="s">
        <v>221</v>
      </c>
      <c r="D9" s="311">
        <f>('Осн. фін. пок.'!C66/'Осн. фін. пок.'!C142)*100</f>
        <v>7.6384109397389173</v>
      </c>
      <c r="E9" s="311">
        <f>('Осн. фін. пок.'!D66/'Осн. фін. пок.'!D142)*100</f>
        <v>2.7320009103859868</v>
      </c>
      <c r="F9" s="311">
        <f t="shared" si="0"/>
        <v>7.6384109397389173</v>
      </c>
      <c r="G9" s="311">
        <f>('Осн. фін. пок.'!F66/'Осн. фін. пок.'!D142)*100</f>
        <v>2.7320009103859868</v>
      </c>
      <c r="H9" s="89" t="s">
        <v>222</v>
      </c>
      <c r="K9" s="343"/>
    </row>
    <row r="10" spans="1:11" ht="42.75" customHeight="1">
      <c r="A10" s="31" t="s">
        <v>424</v>
      </c>
      <c r="B10" s="7">
        <v>5030</v>
      </c>
      <c r="C10" s="99" t="s">
        <v>221</v>
      </c>
      <c r="D10" s="311">
        <f>('Осн. фін. пок.'!C66/'Осн. фін. пок.'!C148)*100</f>
        <v>14.616821219219933</v>
      </c>
      <c r="E10" s="311">
        <f>('Осн. фін. пок.'!D66/'Осн. фін. пок.'!D148)*100</f>
        <v>7.1115889716611633</v>
      </c>
      <c r="F10" s="311">
        <f t="shared" si="0"/>
        <v>14.616821219219933</v>
      </c>
      <c r="G10" s="311">
        <f>('Осн. фін. пок.'!F66/'Осн. фін. пок.'!D148)*100</f>
        <v>7.1115889716611633</v>
      </c>
      <c r="H10" s="89"/>
      <c r="K10" s="343"/>
    </row>
    <row r="11" spans="1:11" ht="56.25">
      <c r="A11" s="31" t="s">
        <v>425</v>
      </c>
      <c r="B11" s="7">
        <v>5040</v>
      </c>
      <c r="C11" s="99" t="s">
        <v>221</v>
      </c>
      <c r="D11" s="311">
        <f>('Осн. фін. пок.'!C66/'Осн. фін. пок.'!C34)*100</f>
        <v>1776.9028871391076</v>
      </c>
      <c r="E11" s="311">
        <f>('Осн. фін. пок.'!D66/'Осн. фін. пок.'!D34)*100</f>
        <v>1012.8125000000001</v>
      </c>
      <c r="F11" s="311">
        <f t="shared" si="0"/>
        <v>1776.9028871391076</v>
      </c>
      <c r="G11" s="311">
        <f>'Осн. фін. пок.'!F66/'Осн. фін. пок.'!F34*100</f>
        <v>1012.8125000000001</v>
      </c>
      <c r="H11" s="89" t="s">
        <v>223</v>
      </c>
      <c r="K11" s="343"/>
    </row>
    <row r="12" spans="1:11" ht="24.95" customHeight="1">
      <c r="A12" s="59" t="s">
        <v>134</v>
      </c>
      <c r="B12" s="7"/>
      <c r="C12" s="100"/>
      <c r="D12" s="311"/>
      <c r="E12" s="311"/>
      <c r="F12" s="311"/>
      <c r="G12" s="311"/>
      <c r="H12" s="89"/>
      <c r="K12" s="343"/>
    </row>
    <row r="13" spans="1:11" ht="56.25">
      <c r="A13" s="89" t="s">
        <v>379</v>
      </c>
      <c r="B13" s="7">
        <v>5100</v>
      </c>
      <c r="C13" s="99"/>
      <c r="D13" s="311">
        <f>('Осн. фін. пок.'!C143+'Осн. фін. пок.'!C144)/'Осн. фін. пок.'!C51</f>
        <v>4.8946506960630645</v>
      </c>
      <c r="E13" s="311">
        <f>('Осн. фін. пок.'!D143+'Осн. фін. пок.'!D144)/'Осн. фін. пок.'!D51</f>
        <v>16.122144985104271</v>
      </c>
      <c r="F13" s="311">
        <f t="shared" si="0"/>
        <v>4.8946506960630645</v>
      </c>
      <c r="G13" s="311">
        <f>('Осн. фін. пок.'!D143+'Осн. фін. пок.'!D144)/'I. Фін результат'!F136</f>
        <v>16.122144985104271</v>
      </c>
      <c r="H13" s="89"/>
      <c r="K13" s="343"/>
    </row>
    <row r="14" spans="1:11" s="60" customFormat="1" ht="56.25">
      <c r="A14" s="89" t="s">
        <v>405</v>
      </c>
      <c r="B14" s="7">
        <v>5110</v>
      </c>
      <c r="C14" s="99" t="s">
        <v>129</v>
      </c>
      <c r="D14" s="311">
        <f>'Осн. фін. пок.'!C148/('Осн. фін. пок.'!C143+'Осн. фін. пок.'!C144)</f>
        <v>1.0945775088917511</v>
      </c>
      <c r="E14" s="311">
        <f>'Осн. фін. пок.'!D148/('Осн. фін. пок.'!D143+'Осн. фін. пок.'!D144)</f>
        <v>0.62380316873695374</v>
      </c>
      <c r="F14" s="311">
        <f t="shared" si="0"/>
        <v>1.0945775088917511</v>
      </c>
      <c r="G14" s="311">
        <f>'Осн. фін. пок.'!D148/('Осн. фін. пок.'!D143+'Осн. фін. пок.'!D144)</f>
        <v>0.62380316873695374</v>
      </c>
      <c r="H14" s="89" t="s">
        <v>224</v>
      </c>
      <c r="K14" s="343"/>
    </row>
    <row r="15" spans="1:11" s="60" customFormat="1" ht="56.25">
      <c r="A15" s="89" t="s">
        <v>406</v>
      </c>
      <c r="B15" s="7">
        <v>5120</v>
      </c>
      <c r="C15" s="99" t="s">
        <v>129</v>
      </c>
      <c r="D15" s="311">
        <f>'Осн. фін. пок.'!C140/'Осн. фін. пок.'!C144</f>
        <v>2.3079251423921887</v>
      </c>
      <c r="E15" s="311">
        <f>'Осн. фін. пок.'!D140/'Осн. фін. пок.'!D144</f>
        <v>2.0804901404454532</v>
      </c>
      <c r="F15" s="311">
        <f t="shared" si="0"/>
        <v>2.3079251423921887</v>
      </c>
      <c r="G15" s="311">
        <f>'Осн. фін. пок.'!D140/'Осн. фін. пок.'!D144</f>
        <v>2.0804901404454532</v>
      </c>
      <c r="H15" s="89" t="s">
        <v>226</v>
      </c>
      <c r="K15" s="343"/>
    </row>
    <row r="16" spans="1:11" ht="24.95" customHeight="1">
      <c r="A16" s="59" t="s">
        <v>133</v>
      </c>
      <c r="B16" s="7"/>
      <c r="C16" s="99"/>
      <c r="D16" s="311"/>
      <c r="E16" s="311"/>
      <c r="F16" s="311">
        <f t="shared" si="0"/>
        <v>0</v>
      </c>
      <c r="G16" s="311"/>
      <c r="H16" s="89"/>
      <c r="K16" s="343"/>
    </row>
    <row r="17" spans="1:11" ht="42.75" customHeight="1">
      <c r="A17" s="89" t="s">
        <v>407</v>
      </c>
      <c r="B17" s="7">
        <v>5200</v>
      </c>
      <c r="C17" s="99"/>
      <c r="D17" s="311">
        <f>'Осн. фін. пок.'!C117/'Осн. фін. пок.'!C78</f>
        <v>1.9328449328449329</v>
      </c>
      <c r="E17" s="311">
        <f>'Осн. фін. пок.'!D117/'Осн. фін. пок.'!D78</f>
        <v>1.5307066834137635</v>
      </c>
      <c r="F17" s="311">
        <f t="shared" si="0"/>
        <v>1.9328449328449329</v>
      </c>
      <c r="G17" s="311">
        <f>'Осн. фін. пок.'!F124/'Осн. фін. пок.'!F78</f>
        <v>1.5307066834137635</v>
      </c>
      <c r="H17" s="89"/>
      <c r="K17" s="343"/>
    </row>
    <row r="18" spans="1:11" ht="75">
      <c r="A18" s="89" t="s">
        <v>408</v>
      </c>
      <c r="B18" s="7">
        <v>5210</v>
      </c>
      <c r="C18" s="99"/>
      <c r="D18" s="311">
        <f>'Осн. фін. пок.'!C117/'Осн. фін. пок.'!C34</f>
        <v>24.929133858267715</v>
      </c>
      <c r="E18" s="311">
        <f>'Осн. фін. пок.'!D117/'Осн. фін. пок.'!D34</f>
        <v>36.1796875</v>
      </c>
      <c r="F18" s="311">
        <f t="shared" si="0"/>
        <v>24.929133858267715</v>
      </c>
      <c r="G18" s="311">
        <f>'Осн. фін. пок.'!F117/'Осн. фін. пок.'!F34</f>
        <v>36.1796875</v>
      </c>
      <c r="H18" s="89"/>
      <c r="K18" s="343"/>
    </row>
    <row r="19" spans="1:11" ht="37.5">
      <c r="A19" s="89" t="s">
        <v>409</v>
      </c>
      <c r="B19" s="7">
        <v>5220</v>
      </c>
      <c r="C19" s="99" t="s">
        <v>329</v>
      </c>
      <c r="D19" s="311">
        <f>'Осн. фін. пок.'!C139/'Осн. фін. пок.'!C138</f>
        <v>0.46868962739681203</v>
      </c>
      <c r="E19" s="311">
        <f>'Осн. фін. пок.'!D139/'Осн. фін. пок.'!D138</f>
        <v>0.45954656707600117</v>
      </c>
      <c r="F19" s="311">
        <f t="shared" si="0"/>
        <v>0.46868962739681203</v>
      </c>
      <c r="G19" s="311">
        <f>'Осн. фін. пок.'!D139/'Осн. фін. пок.'!D138</f>
        <v>0.45954656707600117</v>
      </c>
      <c r="H19" s="89" t="s">
        <v>225</v>
      </c>
      <c r="K19" s="343"/>
    </row>
    <row r="20" spans="1:11" ht="24.95" customHeight="1">
      <c r="A20" s="59" t="s">
        <v>215</v>
      </c>
      <c r="B20" s="7"/>
      <c r="C20" s="99"/>
      <c r="D20" s="88"/>
      <c r="E20" s="88"/>
      <c r="F20" s="88"/>
      <c r="G20" s="88"/>
      <c r="H20" s="89"/>
    </row>
    <row r="21" spans="1:11" ht="75">
      <c r="A21" s="31" t="s">
        <v>228</v>
      </c>
      <c r="B21" s="7">
        <v>5300</v>
      </c>
      <c r="C21" s="99"/>
      <c r="D21" s="88"/>
      <c r="E21" s="88"/>
      <c r="F21" s="88"/>
      <c r="G21" s="88"/>
      <c r="H21" s="91"/>
    </row>
    <row r="26" spans="1:11" ht="20.25">
      <c r="K26" s="90"/>
    </row>
    <row r="27" spans="1:11" s="3" customFormat="1" ht="27.75" customHeight="1">
      <c r="A27" s="55" t="s">
        <v>597</v>
      </c>
      <c r="B27" s="1"/>
      <c r="C27" s="399" t="s">
        <v>163</v>
      </c>
      <c r="D27" s="399"/>
      <c r="E27" s="79"/>
      <c r="F27" s="391" t="s">
        <v>599</v>
      </c>
      <c r="G27" s="391"/>
      <c r="H27" s="391"/>
    </row>
    <row r="28" spans="1:11" s="2" customFormat="1" ht="18.75">
      <c r="A28" s="74"/>
      <c r="B28" s="3"/>
      <c r="C28" s="394" t="s">
        <v>72</v>
      </c>
      <c r="D28" s="394"/>
      <c r="E28" s="3"/>
      <c r="F28" s="398"/>
      <c r="G28" s="398"/>
      <c r="H28" s="398"/>
    </row>
  </sheetData>
  <mergeCells count="11">
    <mergeCell ref="C27:D27"/>
    <mergeCell ref="F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honeticPr fontId="4" type="noConversion"/>
  <pageMargins left="0.25" right="0.25" top="0.75" bottom="0.75" header="0.3" footer="0.3"/>
  <pageSetup paperSize="9" scale="44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:E7 E19 D9:E9 D10:E10 D11:E11 D13:E13 E14 E15 D8:E8 D18:E18 D17:E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F41"/>
  </sheetPr>
  <dimension ref="A1:V89"/>
  <sheetViews>
    <sheetView zoomScale="70" zoomScaleNormal="70" zoomScaleSheetLayoutView="65" workbookViewId="0">
      <selection activeCell="R25" sqref="R25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7" width="9.140625" style="2"/>
    <col min="18" max="18" width="21" style="2" customWidth="1"/>
    <col min="19" max="16384" width="9.140625" style="2"/>
  </cols>
  <sheetData>
    <row r="1" spans="1:22">
      <c r="A1" s="500" t="s">
        <v>106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22">
      <c r="A2" s="500" t="s">
        <v>700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</row>
    <row r="3" spans="1:22">
      <c r="A3" s="394" t="s">
        <v>472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</row>
    <row r="4" spans="1:22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</row>
    <row r="5" spans="1:22" ht="24.95" customHeight="1">
      <c r="A5" s="459" t="s">
        <v>277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</row>
    <row r="6" spans="1:22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2">
      <c r="A7" s="499" t="s">
        <v>213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</row>
    <row r="8" spans="1:22" ht="12.75" customHeight="1">
      <c r="B8" s="2"/>
    </row>
    <row r="9" spans="1:22" s="3" customFormat="1" ht="53.25" customHeight="1">
      <c r="A9" s="389" t="s">
        <v>194</v>
      </c>
      <c r="B9" s="389"/>
      <c r="C9" s="465" t="s">
        <v>347</v>
      </c>
      <c r="D9" s="465"/>
      <c r="E9" s="466"/>
      <c r="F9" s="464" t="s">
        <v>348</v>
      </c>
      <c r="G9" s="465"/>
      <c r="H9" s="466"/>
      <c r="I9" s="389" t="s">
        <v>349</v>
      </c>
      <c r="J9" s="389"/>
      <c r="K9" s="389"/>
      <c r="L9" s="389" t="s">
        <v>345</v>
      </c>
      <c r="M9" s="389"/>
      <c r="N9" s="464" t="s">
        <v>346</v>
      </c>
      <c r="O9" s="466"/>
    </row>
    <row r="10" spans="1:22" s="3" customFormat="1" ht="17.25" customHeight="1">
      <c r="A10" s="389">
        <v>1</v>
      </c>
      <c r="B10" s="389"/>
      <c r="C10" s="465">
        <v>2</v>
      </c>
      <c r="D10" s="465"/>
      <c r="E10" s="466"/>
      <c r="F10" s="464">
        <v>3</v>
      </c>
      <c r="G10" s="465"/>
      <c r="H10" s="466"/>
      <c r="I10" s="389">
        <v>4</v>
      </c>
      <c r="J10" s="389"/>
      <c r="K10" s="389"/>
      <c r="L10" s="464">
        <v>5</v>
      </c>
      <c r="M10" s="466"/>
      <c r="N10" s="389">
        <v>6</v>
      </c>
      <c r="O10" s="389"/>
    </row>
    <row r="11" spans="1:22" s="3" customFormat="1" ht="95.25" customHeight="1">
      <c r="A11" s="425" t="s">
        <v>355</v>
      </c>
      <c r="B11" s="425"/>
      <c r="C11" s="507">
        <f>SUM(C12:E14)</f>
        <v>258</v>
      </c>
      <c r="D11" s="508"/>
      <c r="E11" s="509"/>
      <c r="F11" s="507">
        <f>SUM(F12:H14)</f>
        <v>331</v>
      </c>
      <c r="G11" s="508"/>
      <c r="H11" s="509"/>
      <c r="I11" s="507">
        <f>SUM(I12:K14)</f>
        <v>288</v>
      </c>
      <c r="J11" s="508"/>
      <c r="K11" s="509"/>
      <c r="L11" s="504">
        <f>I11-F11</f>
        <v>-43</v>
      </c>
      <c r="M11" s="504"/>
      <c r="N11" s="505">
        <f>(I11/F11)*100</f>
        <v>87.009063444108762</v>
      </c>
      <c r="O11" s="506"/>
      <c r="R11" s="320"/>
      <c r="S11" s="292"/>
      <c r="T11" s="292"/>
    </row>
    <row r="12" spans="1:22" s="3" customFormat="1">
      <c r="A12" s="458" t="s">
        <v>198</v>
      </c>
      <c r="B12" s="458"/>
      <c r="C12" s="501">
        <v>1</v>
      </c>
      <c r="D12" s="502"/>
      <c r="E12" s="503"/>
      <c r="F12" s="501">
        <v>1</v>
      </c>
      <c r="G12" s="502"/>
      <c r="H12" s="503"/>
      <c r="I12" s="501">
        <v>1</v>
      </c>
      <c r="J12" s="502"/>
      <c r="K12" s="503"/>
      <c r="L12" s="469">
        <f t="shared" ref="L12:L26" si="0">I12-F12</f>
        <v>0</v>
      </c>
      <c r="M12" s="469"/>
      <c r="N12" s="467">
        <f t="shared" ref="N12:N26" si="1">(I12/F12)*100</f>
        <v>100</v>
      </c>
      <c r="O12" s="468"/>
      <c r="R12" s="320"/>
      <c r="S12" s="292"/>
      <c r="T12" s="292"/>
      <c r="U12" s="265"/>
      <c r="V12" s="265"/>
    </row>
    <row r="13" spans="1:22" s="3" customFormat="1">
      <c r="A13" s="458" t="s">
        <v>197</v>
      </c>
      <c r="B13" s="458"/>
      <c r="C13" s="501">
        <v>72</v>
      </c>
      <c r="D13" s="502"/>
      <c r="E13" s="503"/>
      <c r="F13" s="501">
        <v>81</v>
      </c>
      <c r="G13" s="502"/>
      <c r="H13" s="503"/>
      <c r="I13" s="501">
        <v>72</v>
      </c>
      <c r="J13" s="502"/>
      <c r="K13" s="503"/>
      <c r="L13" s="469">
        <f t="shared" si="0"/>
        <v>-9</v>
      </c>
      <c r="M13" s="469"/>
      <c r="N13" s="467">
        <f t="shared" si="1"/>
        <v>88.888888888888886</v>
      </c>
      <c r="O13" s="468"/>
      <c r="R13" s="320"/>
      <c r="S13" s="292"/>
      <c r="T13" s="292"/>
      <c r="U13" s="265"/>
      <c r="V13" s="265"/>
    </row>
    <row r="14" spans="1:22" s="3" customFormat="1">
      <c r="A14" s="458" t="s">
        <v>199</v>
      </c>
      <c r="B14" s="458"/>
      <c r="C14" s="501">
        <v>185</v>
      </c>
      <c r="D14" s="502"/>
      <c r="E14" s="503"/>
      <c r="F14" s="501">
        <v>249</v>
      </c>
      <c r="G14" s="502"/>
      <c r="H14" s="503"/>
      <c r="I14" s="501">
        <v>215</v>
      </c>
      <c r="J14" s="502"/>
      <c r="K14" s="503"/>
      <c r="L14" s="469">
        <f t="shared" si="0"/>
        <v>-34</v>
      </c>
      <c r="M14" s="469"/>
      <c r="N14" s="467">
        <f t="shared" si="1"/>
        <v>86.345381526104418</v>
      </c>
      <c r="O14" s="468"/>
      <c r="R14" s="320"/>
      <c r="S14" s="292"/>
      <c r="T14" s="292"/>
      <c r="U14" s="265"/>
      <c r="V14" s="265"/>
    </row>
    <row r="15" spans="1:22" s="3" customFormat="1" ht="37.5" customHeight="1">
      <c r="A15" s="425" t="s">
        <v>410</v>
      </c>
      <c r="B15" s="425"/>
      <c r="C15" s="446">
        <f>SUM(C16:E18)</f>
        <v>79495.399999999994</v>
      </c>
      <c r="D15" s="447"/>
      <c r="E15" s="448"/>
      <c r="F15" s="446">
        <f>F16+F17+F18</f>
        <v>99737</v>
      </c>
      <c r="G15" s="447"/>
      <c r="H15" s="448"/>
      <c r="I15" s="446">
        <f>SUM(I16:K18)</f>
        <v>88749.799999999988</v>
      </c>
      <c r="J15" s="447"/>
      <c r="K15" s="448"/>
      <c r="L15" s="504">
        <f t="shared" si="0"/>
        <v>-10987.200000000012</v>
      </c>
      <c r="M15" s="504"/>
      <c r="N15" s="505">
        <f t="shared" si="1"/>
        <v>88.983827466236193</v>
      </c>
      <c r="O15" s="506"/>
      <c r="R15" s="320"/>
      <c r="S15" s="292"/>
      <c r="T15" s="292"/>
      <c r="U15" s="265"/>
      <c r="V15" s="265"/>
    </row>
    <row r="16" spans="1:22" s="3" customFormat="1">
      <c r="A16" s="458" t="s">
        <v>198</v>
      </c>
      <c r="B16" s="458"/>
      <c r="C16" s="449">
        <v>854.6</v>
      </c>
      <c r="D16" s="450"/>
      <c r="E16" s="451"/>
      <c r="F16" s="475">
        <v>1668.6</v>
      </c>
      <c r="G16" s="476"/>
      <c r="H16" s="477"/>
      <c r="I16" s="475">
        <v>987.7</v>
      </c>
      <c r="J16" s="476"/>
      <c r="K16" s="477"/>
      <c r="L16" s="469">
        <f t="shared" si="0"/>
        <v>-680.89999999999986</v>
      </c>
      <c r="M16" s="469"/>
      <c r="N16" s="467">
        <f t="shared" si="1"/>
        <v>59.193335730552562</v>
      </c>
      <c r="O16" s="468"/>
      <c r="R16" s="320"/>
      <c r="S16" s="292"/>
      <c r="T16" s="292"/>
      <c r="U16" s="265"/>
      <c r="V16" s="265"/>
    </row>
    <row r="17" spans="1:22" s="3" customFormat="1">
      <c r="A17" s="458" t="s">
        <v>197</v>
      </c>
      <c r="B17" s="458"/>
      <c r="C17" s="449">
        <v>20330.400000000001</v>
      </c>
      <c r="D17" s="450"/>
      <c r="E17" s="451"/>
      <c r="F17" s="475">
        <v>23259.4</v>
      </c>
      <c r="G17" s="476"/>
      <c r="H17" s="477"/>
      <c r="I17" s="475">
        <v>21614.7</v>
      </c>
      <c r="J17" s="476"/>
      <c r="K17" s="477"/>
      <c r="L17" s="469">
        <f t="shared" si="0"/>
        <v>-1644.7000000000007</v>
      </c>
      <c r="M17" s="469"/>
      <c r="N17" s="467">
        <f t="shared" si="1"/>
        <v>92.928880366647462</v>
      </c>
      <c r="O17" s="468"/>
      <c r="R17" s="320"/>
      <c r="S17" s="292"/>
      <c r="T17" s="292"/>
      <c r="U17" s="265"/>
      <c r="V17" s="265"/>
    </row>
    <row r="18" spans="1:22" s="3" customFormat="1">
      <c r="A18" s="458" t="s">
        <v>199</v>
      </c>
      <c r="B18" s="458"/>
      <c r="C18" s="449">
        <v>58310.400000000001</v>
      </c>
      <c r="D18" s="450"/>
      <c r="E18" s="451"/>
      <c r="F18" s="475">
        <v>74809</v>
      </c>
      <c r="G18" s="476"/>
      <c r="H18" s="477"/>
      <c r="I18" s="475">
        <v>66147.399999999994</v>
      </c>
      <c r="J18" s="476"/>
      <c r="K18" s="477"/>
      <c r="L18" s="469">
        <f t="shared" si="0"/>
        <v>-8661.6000000000058</v>
      </c>
      <c r="M18" s="469"/>
      <c r="N18" s="467">
        <f t="shared" si="1"/>
        <v>88.421713964897265</v>
      </c>
      <c r="O18" s="468"/>
      <c r="R18" s="320"/>
      <c r="S18" s="292"/>
      <c r="T18" s="292"/>
      <c r="U18" s="265"/>
      <c r="V18" s="265"/>
    </row>
    <row r="19" spans="1:22" s="3" customFormat="1" ht="36" customHeight="1">
      <c r="A19" s="425" t="s">
        <v>411</v>
      </c>
      <c r="B19" s="425"/>
      <c r="C19" s="446">
        <f>SUM(C20:E22)</f>
        <v>81647</v>
      </c>
      <c r="D19" s="447"/>
      <c r="E19" s="448"/>
      <c r="F19" s="446">
        <f>SUM(F20:H22)</f>
        <v>99260</v>
      </c>
      <c r="G19" s="447"/>
      <c r="H19" s="448"/>
      <c r="I19" s="446">
        <f>SUM(I20:K22)</f>
        <v>89514</v>
      </c>
      <c r="J19" s="447"/>
      <c r="K19" s="448"/>
      <c r="L19" s="504">
        <f t="shared" si="0"/>
        <v>-9746</v>
      </c>
      <c r="M19" s="504"/>
      <c r="N19" s="505">
        <f t="shared" si="1"/>
        <v>90.181341930284091</v>
      </c>
      <c r="O19" s="506"/>
      <c r="R19" s="320"/>
      <c r="S19" s="292"/>
      <c r="T19" s="292"/>
      <c r="U19" s="265"/>
      <c r="V19" s="265"/>
    </row>
    <row r="20" spans="1:22" s="3" customFormat="1">
      <c r="A20" s="458" t="s">
        <v>198</v>
      </c>
      <c r="B20" s="458"/>
      <c r="C20" s="449">
        <v>860.9</v>
      </c>
      <c r="D20" s="450"/>
      <c r="E20" s="451"/>
      <c r="F20" s="475">
        <v>1303.5999999999999</v>
      </c>
      <c r="G20" s="476"/>
      <c r="H20" s="477"/>
      <c r="I20" s="475">
        <v>1001.7</v>
      </c>
      <c r="J20" s="476"/>
      <c r="K20" s="477"/>
      <c r="L20" s="469">
        <f t="shared" si="0"/>
        <v>-301.89999999999986</v>
      </c>
      <c r="M20" s="469"/>
      <c r="N20" s="467">
        <f t="shared" si="1"/>
        <v>76.841055538508755</v>
      </c>
      <c r="O20" s="468"/>
      <c r="R20" s="320"/>
      <c r="S20" s="292"/>
      <c r="T20" s="292"/>
      <c r="U20" s="265"/>
      <c r="V20" s="265"/>
    </row>
    <row r="21" spans="1:22" s="3" customFormat="1">
      <c r="A21" s="458" t="s">
        <v>197</v>
      </c>
      <c r="B21" s="458"/>
      <c r="C21" s="449">
        <v>21361.1</v>
      </c>
      <c r="D21" s="450"/>
      <c r="E21" s="451"/>
      <c r="F21" s="475">
        <v>22974.400000000001</v>
      </c>
      <c r="G21" s="476"/>
      <c r="H21" s="477"/>
      <c r="I21" s="475">
        <v>22191</v>
      </c>
      <c r="J21" s="476"/>
      <c r="K21" s="477"/>
      <c r="L21" s="469">
        <f t="shared" si="0"/>
        <v>-783.40000000000146</v>
      </c>
      <c r="M21" s="469"/>
      <c r="N21" s="467">
        <f t="shared" si="1"/>
        <v>96.590117696218385</v>
      </c>
      <c r="O21" s="468"/>
      <c r="R21" s="320"/>
      <c r="S21" s="292"/>
      <c r="T21" s="292"/>
      <c r="U21" s="265"/>
      <c r="V21" s="265"/>
    </row>
    <row r="22" spans="1:22" s="3" customFormat="1">
      <c r="A22" s="458" t="s">
        <v>199</v>
      </c>
      <c r="B22" s="458"/>
      <c r="C22" s="449">
        <v>59425</v>
      </c>
      <c r="D22" s="450"/>
      <c r="E22" s="451"/>
      <c r="F22" s="475">
        <v>74982</v>
      </c>
      <c r="G22" s="476"/>
      <c r="H22" s="477"/>
      <c r="I22" s="475">
        <v>66321.3</v>
      </c>
      <c r="J22" s="476"/>
      <c r="K22" s="477"/>
      <c r="L22" s="469">
        <f t="shared" ref="L22" si="2">I22-F22</f>
        <v>-8660.6999999999971</v>
      </c>
      <c r="M22" s="469"/>
      <c r="N22" s="467">
        <f t="shared" si="1"/>
        <v>88.449627910698567</v>
      </c>
      <c r="O22" s="468"/>
      <c r="R22" s="320"/>
      <c r="S22" s="292"/>
      <c r="T22" s="292"/>
      <c r="U22" s="265"/>
      <c r="V22" s="265"/>
    </row>
    <row r="23" spans="1:22" s="3" customFormat="1" ht="56.25" customHeight="1">
      <c r="A23" s="425" t="s">
        <v>412</v>
      </c>
      <c r="B23" s="425"/>
      <c r="C23" s="446">
        <f>C19/C11/12*1000</f>
        <v>26371.770025839793</v>
      </c>
      <c r="D23" s="447"/>
      <c r="E23" s="448"/>
      <c r="F23" s="446">
        <f t="shared" ref="F23" si="3">F19/F11/12*1000</f>
        <v>24989.929506545821</v>
      </c>
      <c r="G23" s="447"/>
      <c r="H23" s="448"/>
      <c r="I23" s="446">
        <f t="shared" ref="I23" si="4">I19/I11/12*1000</f>
        <v>25901.041666666668</v>
      </c>
      <c r="J23" s="447"/>
      <c r="K23" s="448"/>
      <c r="L23" s="504">
        <f t="shared" si="0"/>
        <v>911.11216012084697</v>
      </c>
      <c r="M23" s="504"/>
      <c r="N23" s="473">
        <f>(I23/F23)*100</f>
        <v>103.64591728793069</v>
      </c>
      <c r="O23" s="474"/>
      <c r="R23" s="320"/>
      <c r="S23" s="292"/>
      <c r="T23" s="292"/>
      <c r="U23" s="265"/>
      <c r="V23" s="265"/>
    </row>
    <row r="24" spans="1:22" s="3" customFormat="1">
      <c r="A24" s="458" t="s">
        <v>198</v>
      </c>
      <c r="B24" s="458"/>
      <c r="C24" s="449">
        <f>C20/C12/12*1000</f>
        <v>71741.666666666657</v>
      </c>
      <c r="D24" s="450"/>
      <c r="E24" s="451"/>
      <c r="F24" s="449">
        <f t="shared" ref="F24" si="5">F20/F12/12*1000</f>
        <v>108633.33333333333</v>
      </c>
      <c r="G24" s="450"/>
      <c r="H24" s="451"/>
      <c r="I24" s="449">
        <f t="shared" ref="I24" si="6">I20/I12/12*1000</f>
        <v>83475.000000000015</v>
      </c>
      <c r="J24" s="450"/>
      <c r="K24" s="451"/>
      <c r="L24" s="472">
        <f t="shared" si="0"/>
        <v>-25158.333333333314</v>
      </c>
      <c r="M24" s="472"/>
      <c r="N24" s="470">
        <f t="shared" si="1"/>
        <v>76.841055538508769</v>
      </c>
      <c r="O24" s="471"/>
      <c r="R24" s="320"/>
      <c r="S24" s="292"/>
      <c r="T24" s="292"/>
      <c r="U24" s="265"/>
      <c r="V24" s="265"/>
    </row>
    <row r="25" spans="1:22" s="3" customFormat="1">
      <c r="A25" s="458" t="s">
        <v>197</v>
      </c>
      <c r="B25" s="458"/>
      <c r="C25" s="449">
        <f t="shared" ref="C25:C26" si="7">C21/C13/12*1000</f>
        <v>24723.495370370369</v>
      </c>
      <c r="D25" s="450"/>
      <c r="E25" s="451"/>
      <c r="F25" s="449">
        <f t="shared" ref="F25" si="8">F21/F13/12*1000</f>
        <v>23636.213991769549</v>
      </c>
      <c r="G25" s="450"/>
      <c r="H25" s="451"/>
      <c r="I25" s="449">
        <f t="shared" ref="I25" si="9">I21/I13/12*1000</f>
        <v>25684.027777777774</v>
      </c>
      <c r="J25" s="450"/>
      <c r="K25" s="451"/>
      <c r="L25" s="472">
        <f t="shared" si="0"/>
        <v>2047.8137860082243</v>
      </c>
      <c r="M25" s="472"/>
      <c r="N25" s="470">
        <f>(I25/F25)*100</f>
        <v>108.66388240824567</v>
      </c>
      <c r="O25" s="471"/>
      <c r="R25" s="320"/>
      <c r="S25" s="292"/>
      <c r="T25" s="292"/>
    </row>
    <row r="26" spans="1:22" s="3" customFormat="1">
      <c r="A26" s="458" t="s">
        <v>199</v>
      </c>
      <c r="B26" s="458"/>
      <c r="C26" s="449">
        <f t="shared" si="7"/>
        <v>26768.018018018014</v>
      </c>
      <c r="D26" s="450"/>
      <c r="E26" s="451"/>
      <c r="F26" s="449">
        <f t="shared" ref="F26" si="10">F22/F14/12*1000</f>
        <v>25094.377510040162</v>
      </c>
      <c r="G26" s="450"/>
      <c r="H26" s="451"/>
      <c r="I26" s="449">
        <f t="shared" ref="I26" si="11">I22/I14/12*1000</f>
        <v>25705.930232558141</v>
      </c>
      <c r="J26" s="450"/>
      <c r="K26" s="451"/>
      <c r="L26" s="472">
        <f t="shared" si="0"/>
        <v>611.55272251797942</v>
      </c>
      <c r="M26" s="472"/>
      <c r="N26" s="470">
        <f t="shared" si="1"/>
        <v>102.43701092913462</v>
      </c>
      <c r="O26" s="471"/>
      <c r="R26" s="320"/>
      <c r="S26" s="292"/>
      <c r="T26" s="292"/>
    </row>
    <row r="27" spans="1:22" s="3" customFormat="1" ht="13.5" customHeight="1">
      <c r="A27" s="28"/>
      <c r="B27" s="28"/>
      <c r="C27" s="28"/>
      <c r="D27" s="96"/>
      <c r="E27" s="96"/>
      <c r="F27" s="96"/>
      <c r="G27" s="96"/>
      <c r="H27" s="96"/>
      <c r="I27" s="321"/>
      <c r="K27" s="96"/>
      <c r="L27" s="96"/>
      <c r="M27" s="96"/>
      <c r="N27" s="98"/>
      <c r="O27" s="98"/>
    </row>
    <row r="28" spans="1:22">
      <c r="A28" s="510" t="s">
        <v>413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</row>
    <row r="29" spans="1:22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22" ht="30.75" customHeight="1">
      <c r="A30" s="459" t="s">
        <v>200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</row>
    <row r="31" spans="1:22" ht="12.75" customHeight="1"/>
    <row r="32" spans="1:22" ht="24.95" customHeight="1">
      <c r="A32" s="38" t="s">
        <v>115</v>
      </c>
      <c r="B32" s="422" t="s">
        <v>216</v>
      </c>
      <c r="C32" s="423"/>
      <c r="D32" s="423"/>
      <c r="E32" s="423"/>
      <c r="F32" s="393" t="s">
        <v>78</v>
      </c>
      <c r="G32" s="393"/>
      <c r="H32" s="393"/>
      <c r="I32" s="393"/>
      <c r="J32" s="393"/>
      <c r="K32" s="393"/>
      <c r="L32" s="393"/>
      <c r="M32" s="393"/>
      <c r="N32" s="393"/>
      <c r="O32" s="393"/>
    </row>
    <row r="33" spans="1:15" ht="17.25" customHeight="1">
      <c r="A33" s="38">
        <v>1</v>
      </c>
      <c r="B33" s="422">
        <v>2</v>
      </c>
      <c r="C33" s="423"/>
      <c r="D33" s="423"/>
      <c r="E33" s="423"/>
      <c r="F33" s="393">
        <v>3</v>
      </c>
      <c r="G33" s="393"/>
      <c r="H33" s="393"/>
      <c r="I33" s="393"/>
      <c r="J33" s="393"/>
      <c r="K33" s="393"/>
      <c r="L33" s="393"/>
      <c r="M33" s="393"/>
      <c r="N33" s="393"/>
      <c r="O33" s="393"/>
    </row>
    <row r="34" spans="1:15" ht="20.100000000000001" customHeight="1">
      <c r="A34" s="92"/>
      <c r="B34" s="442"/>
      <c r="C34" s="461"/>
      <c r="D34" s="461"/>
      <c r="E34" s="461"/>
      <c r="F34" s="460"/>
      <c r="G34" s="460"/>
      <c r="H34" s="460"/>
      <c r="I34" s="460"/>
      <c r="J34" s="460"/>
      <c r="K34" s="460"/>
      <c r="L34" s="460"/>
      <c r="M34" s="460"/>
      <c r="N34" s="460"/>
      <c r="O34" s="460"/>
    </row>
    <row r="35" spans="1:15" ht="20.100000000000001" customHeight="1">
      <c r="A35" s="92"/>
      <c r="B35" s="442"/>
      <c r="C35" s="461"/>
      <c r="D35" s="461"/>
      <c r="E35" s="461"/>
      <c r="F35" s="460"/>
      <c r="G35" s="460"/>
      <c r="H35" s="460"/>
      <c r="I35" s="460"/>
      <c r="J35" s="460"/>
      <c r="K35" s="460"/>
      <c r="L35" s="460"/>
      <c r="M35" s="460"/>
      <c r="N35" s="460"/>
      <c r="O35" s="460"/>
    </row>
    <row r="36" spans="1:15" ht="20.100000000000001" customHeight="1">
      <c r="A36" s="92"/>
      <c r="B36" s="442"/>
      <c r="C36" s="461"/>
      <c r="D36" s="461"/>
      <c r="E36" s="461"/>
      <c r="F36" s="460"/>
      <c r="G36" s="460"/>
      <c r="H36" s="460"/>
      <c r="I36" s="460"/>
      <c r="J36" s="460"/>
      <c r="K36" s="460"/>
      <c r="L36" s="460"/>
      <c r="M36" s="460"/>
      <c r="N36" s="460"/>
      <c r="O36" s="460"/>
    </row>
    <row r="37" spans="1:15" ht="20.100000000000001" customHeight="1">
      <c r="A37" s="92"/>
      <c r="B37" s="442"/>
      <c r="C37" s="461"/>
      <c r="D37" s="461"/>
      <c r="E37" s="461"/>
      <c r="F37" s="460"/>
      <c r="G37" s="460"/>
      <c r="H37" s="460"/>
      <c r="I37" s="460"/>
      <c r="J37" s="460"/>
      <c r="K37" s="460"/>
      <c r="L37" s="460"/>
      <c r="M37" s="460"/>
      <c r="N37" s="460"/>
      <c r="O37" s="460"/>
    </row>
    <row r="38" spans="1:15" ht="20.100000000000001" customHeight="1">
      <c r="A38" s="92"/>
      <c r="B38" s="442"/>
      <c r="C38" s="461"/>
      <c r="D38" s="461"/>
      <c r="E38" s="461"/>
      <c r="F38" s="460"/>
      <c r="G38" s="460"/>
      <c r="H38" s="460"/>
      <c r="I38" s="460"/>
      <c r="J38" s="460"/>
      <c r="K38" s="460"/>
      <c r="L38" s="460"/>
      <c r="M38" s="460"/>
      <c r="N38" s="460"/>
      <c r="O38" s="460"/>
    </row>
    <row r="39" spans="1:15" ht="20.100000000000001" customHeight="1">
      <c r="A39" s="92"/>
      <c r="B39" s="442"/>
      <c r="C39" s="461"/>
      <c r="D39" s="461"/>
      <c r="E39" s="461"/>
      <c r="F39" s="460"/>
      <c r="G39" s="460"/>
      <c r="H39" s="460"/>
      <c r="I39" s="460"/>
      <c r="J39" s="460"/>
      <c r="K39" s="460"/>
      <c r="L39" s="460"/>
      <c r="M39" s="460"/>
      <c r="N39" s="460"/>
      <c r="O39" s="460"/>
    </row>
    <row r="40" spans="1:15">
      <c r="A40" s="459" t="s">
        <v>172</v>
      </c>
      <c r="B40" s="459"/>
      <c r="C40" s="459"/>
      <c r="D40" s="459"/>
      <c r="E40" s="459"/>
      <c r="F40" s="459"/>
      <c r="G40" s="459"/>
      <c r="H40" s="459"/>
      <c r="I40" s="459"/>
      <c r="J40" s="459"/>
    </row>
    <row r="41" spans="1:15">
      <c r="A41" s="20"/>
    </row>
    <row r="42" spans="1:15" ht="52.5" customHeight="1">
      <c r="A42" s="452" t="s">
        <v>276</v>
      </c>
      <c r="B42" s="453"/>
      <c r="C42" s="454"/>
      <c r="D42" s="389" t="s">
        <v>164</v>
      </c>
      <c r="E42" s="389"/>
      <c r="F42" s="389"/>
      <c r="G42" s="389" t="s">
        <v>159</v>
      </c>
      <c r="H42" s="389"/>
      <c r="I42" s="389"/>
      <c r="J42" s="389" t="s">
        <v>195</v>
      </c>
      <c r="K42" s="389"/>
      <c r="L42" s="389"/>
      <c r="M42" s="464" t="s">
        <v>196</v>
      </c>
      <c r="N42" s="465"/>
      <c r="O42" s="466"/>
    </row>
    <row r="43" spans="1:15" ht="155.25" customHeight="1">
      <c r="A43" s="455"/>
      <c r="B43" s="456"/>
      <c r="C43" s="457"/>
      <c r="D43" s="7" t="s">
        <v>414</v>
      </c>
      <c r="E43" s="7" t="s">
        <v>211</v>
      </c>
      <c r="F43" s="7" t="s">
        <v>415</v>
      </c>
      <c r="G43" s="7" t="s">
        <v>414</v>
      </c>
      <c r="H43" s="7" t="s">
        <v>211</v>
      </c>
      <c r="I43" s="7" t="s">
        <v>415</v>
      </c>
      <c r="J43" s="7" t="s">
        <v>414</v>
      </c>
      <c r="K43" s="7" t="s">
        <v>211</v>
      </c>
      <c r="L43" s="7" t="s">
        <v>415</v>
      </c>
      <c r="M43" s="106" t="s">
        <v>165</v>
      </c>
      <c r="N43" s="106" t="s">
        <v>166</v>
      </c>
      <c r="O43" s="106" t="s">
        <v>230</v>
      </c>
    </row>
    <row r="44" spans="1:15">
      <c r="A44" s="464">
        <v>1</v>
      </c>
      <c r="B44" s="465"/>
      <c r="C44" s="466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>
      <c r="A45" s="464" t="s">
        <v>528</v>
      </c>
      <c r="B45" s="465"/>
      <c r="C45" s="466"/>
      <c r="D45" s="339"/>
      <c r="E45" s="339"/>
      <c r="F45" s="340"/>
      <c r="G45" s="341"/>
      <c r="H45" s="341"/>
      <c r="I45" s="342"/>
      <c r="J45" s="278">
        <f t="shared" ref="J45:L49" si="12">G45-D45</f>
        <v>0</v>
      </c>
      <c r="K45" s="278">
        <f t="shared" si="12"/>
        <v>0</v>
      </c>
      <c r="L45" s="279">
        <f t="shared" si="12"/>
        <v>0</v>
      </c>
      <c r="M45" s="244" t="e">
        <f t="shared" ref="M45:O47" si="13">(G45/D45)*100</f>
        <v>#DIV/0!</v>
      </c>
      <c r="N45" s="105" t="e">
        <f t="shared" si="13"/>
        <v>#DIV/0!</v>
      </c>
      <c r="O45" s="243" t="e">
        <f t="shared" si="13"/>
        <v>#DIV/0!</v>
      </c>
    </row>
    <row r="46" spans="1:15">
      <c r="A46" s="464" t="s">
        <v>462</v>
      </c>
      <c r="B46" s="465"/>
      <c r="C46" s="466"/>
      <c r="D46" s="339">
        <v>212</v>
      </c>
      <c r="E46" s="339"/>
      <c r="F46" s="340"/>
      <c r="G46" s="288">
        <f>45.1+58+53+69</f>
        <v>225.1</v>
      </c>
      <c r="H46" s="341"/>
      <c r="I46" s="342"/>
      <c r="J46" s="278">
        <f t="shared" si="12"/>
        <v>13.099999999999994</v>
      </c>
      <c r="K46" s="278">
        <f t="shared" si="12"/>
        <v>0</v>
      </c>
      <c r="L46" s="279">
        <f t="shared" si="12"/>
        <v>0</v>
      </c>
      <c r="M46" s="244">
        <f t="shared" si="13"/>
        <v>106.17924528301887</v>
      </c>
      <c r="N46" s="105" t="e">
        <f t="shared" si="13"/>
        <v>#DIV/0!</v>
      </c>
      <c r="O46" s="243" t="e">
        <f t="shared" si="13"/>
        <v>#DIV/0!</v>
      </c>
    </row>
    <row r="47" spans="1:15" ht="20.100000000000001" customHeight="1">
      <c r="A47" s="497" t="s">
        <v>567</v>
      </c>
      <c r="B47" s="390"/>
      <c r="C47" s="397"/>
      <c r="D47" s="340">
        <v>270</v>
      </c>
      <c r="E47" s="340">
        <v>60</v>
      </c>
      <c r="F47" s="340">
        <f>D47*1000/E47</f>
        <v>4500</v>
      </c>
      <c r="G47" s="342">
        <f>21.7+117+102+163</f>
        <v>403.7</v>
      </c>
      <c r="H47" s="342">
        <f>10+30+29+62</f>
        <v>131</v>
      </c>
      <c r="I47" s="342">
        <f>G47*1000/H47</f>
        <v>3081.679389312977</v>
      </c>
      <c r="J47" s="279">
        <f t="shared" si="12"/>
        <v>133.69999999999999</v>
      </c>
      <c r="K47" s="279">
        <f t="shared" si="12"/>
        <v>71</v>
      </c>
      <c r="L47" s="279">
        <f t="shared" si="12"/>
        <v>-1418.320610687023</v>
      </c>
      <c r="M47" s="244">
        <f t="shared" si="13"/>
        <v>149.5185185185185</v>
      </c>
      <c r="N47" s="105">
        <f t="shared" si="13"/>
        <v>218.33333333333331</v>
      </c>
      <c r="O47" s="243">
        <f t="shared" si="13"/>
        <v>68.481764206955049</v>
      </c>
    </row>
    <row r="48" spans="1:15" ht="32.25" customHeight="1">
      <c r="A48" s="497" t="s">
        <v>427</v>
      </c>
      <c r="B48" s="390"/>
      <c r="C48" s="397"/>
      <c r="D48" s="340"/>
      <c r="E48" s="340"/>
      <c r="F48" s="340"/>
      <c r="G48" s="342">
        <f>6.2+4+1+0</f>
        <v>11.2</v>
      </c>
      <c r="H48" s="342"/>
      <c r="I48" s="342"/>
      <c r="J48" s="279">
        <f t="shared" si="12"/>
        <v>11.2</v>
      </c>
      <c r="K48" s="279"/>
      <c r="L48" s="279"/>
      <c r="M48" s="244" t="e">
        <f t="shared" ref="M48:O49" si="14">(G48/D48)*100</f>
        <v>#DIV/0!</v>
      </c>
      <c r="N48" s="105" t="e">
        <f t="shared" si="14"/>
        <v>#DIV/0!</v>
      </c>
      <c r="O48" s="243" t="e">
        <f t="shared" si="14"/>
        <v>#DIV/0!</v>
      </c>
    </row>
    <row r="49" spans="1:15" ht="24.95" customHeight="1">
      <c r="A49" s="494" t="s">
        <v>53</v>
      </c>
      <c r="B49" s="495"/>
      <c r="C49" s="496"/>
      <c r="D49" s="344">
        <f>SUM(D45:D48)</f>
        <v>482</v>
      </c>
      <c r="E49" s="344">
        <f>SUM(E46:E48)</f>
        <v>60</v>
      </c>
      <c r="F49" s="344"/>
      <c r="G49" s="344">
        <f>SUM(G45:G48)</f>
        <v>640</v>
      </c>
      <c r="H49" s="344">
        <f>SUM(H47:H48)</f>
        <v>131</v>
      </c>
      <c r="I49" s="344"/>
      <c r="J49" s="279">
        <f t="shared" si="12"/>
        <v>158</v>
      </c>
      <c r="K49" s="280"/>
      <c r="L49" s="280"/>
      <c r="M49" s="244">
        <f t="shared" si="14"/>
        <v>132.78008298755185</v>
      </c>
      <c r="N49" s="105">
        <f t="shared" si="14"/>
        <v>218.33333333333331</v>
      </c>
      <c r="O49" s="243" t="e">
        <f t="shared" si="14"/>
        <v>#DIV/0!</v>
      </c>
    </row>
    <row r="50" spans="1:15">
      <c r="A50" s="22"/>
      <c r="B50" s="23"/>
      <c r="C50" s="23"/>
      <c r="D50" s="23"/>
      <c r="E50" s="23"/>
      <c r="F50" s="269"/>
      <c r="G50" s="269"/>
      <c r="H50" s="269"/>
      <c r="I50" s="276"/>
      <c r="J50" s="276"/>
      <c r="K50" s="276"/>
      <c r="L50" s="276"/>
      <c r="M50" s="5"/>
      <c r="N50" s="5"/>
      <c r="O50" s="5"/>
    </row>
    <row r="51" spans="1:15">
      <c r="A51" s="459" t="s">
        <v>69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</row>
    <row r="52" spans="1:15">
      <c r="A52" s="20"/>
    </row>
    <row r="53" spans="1:15" ht="56.25" customHeight="1">
      <c r="A53" s="7" t="s">
        <v>109</v>
      </c>
      <c r="B53" s="389" t="s">
        <v>68</v>
      </c>
      <c r="C53" s="389"/>
      <c r="D53" s="389" t="s">
        <v>62</v>
      </c>
      <c r="E53" s="389"/>
      <c r="F53" s="389" t="s">
        <v>63</v>
      </c>
      <c r="G53" s="389"/>
      <c r="H53" s="389" t="s">
        <v>82</v>
      </c>
      <c r="I53" s="389"/>
      <c r="J53" s="389"/>
      <c r="K53" s="464" t="s">
        <v>79</v>
      </c>
      <c r="L53" s="466"/>
      <c r="M53" s="464" t="s">
        <v>32</v>
      </c>
      <c r="N53" s="465"/>
      <c r="O53" s="466"/>
    </row>
    <row r="54" spans="1:15">
      <c r="A54" s="6">
        <v>1</v>
      </c>
      <c r="B54" s="393">
        <v>2</v>
      </c>
      <c r="C54" s="393"/>
      <c r="D54" s="393">
        <v>3</v>
      </c>
      <c r="E54" s="393"/>
      <c r="F54" s="393">
        <v>4</v>
      </c>
      <c r="G54" s="393"/>
      <c r="H54" s="393">
        <v>5</v>
      </c>
      <c r="I54" s="393"/>
      <c r="J54" s="393"/>
      <c r="K54" s="393">
        <v>6</v>
      </c>
      <c r="L54" s="393"/>
      <c r="M54" s="422">
        <v>7</v>
      </c>
      <c r="N54" s="423"/>
      <c r="O54" s="424"/>
    </row>
    <row r="55" spans="1:15">
      <c r="A55" s="87"/>
      <c r="B55" s="460"/>
      <c r="C55" s="460"/>
      <c r="D55" s="485"/>
      <c r="E55" s="485"/>
      <c r="F55" s="463" t="s">
        <v>177</v>
      </c>
      <c r="G55" s="463"/>
      <c r="H55" s="486"/>
      <c r="I55" s="486"/>
      <c r="J55" s="486"/>
      <c r="K55" s="489"/>
      <c r="L55" s="490"/>
      <c r="M55" s="485"/>
      <c r="N55" s="485"/>
      <c r="O55" s="485"/>
    </row>
    <row r="56" spans="1:15">
      <c r="A56" s="87"/>
      <c r="B56" s="487"/>
      <c r="C56" s="488"/>
      <c r="D56" s="444"/>
      <c r="E56" s="445"/>
      <c r="F56" s="480"/>
      <c r="G56" s="481"/>
      <c r="H56" s="482"/>
      <c r="I56" s="483"/>
      <c r="J56" s="484"/>
      <c r="K56" s="489"/>
      <c r="L56" s="490"/>
      <c r="M56" s="444"/>
      <c r="N56" s="462"/>
      <c r="O56" s="445"/>
    </row>
    <row r="57" spans="1:15">
      <c r="A57" s="87"/>
      <c r="B57" s="442"/>
      <c r="C57" s="443"/>
      <c r="D57" s="444"/>
      <c r="E57" s="445"/>
      <c r="F57" s="480"/>
      <c r="G57" s="481"/>
      <c r="H57" s="482"/>
      <c r="I57" s="483"/>
      <c r="J57" s="484"/>
      <c r="K57" s="489"/>
      <c r="L57" s="490"/>
      <c r="M57" s="444"/>
      <c r="N57" s="462"/>
      <c r="O57" s="445"/>
    </row>
    <row r="58" spans="1:15">
      <c r="A58" s="87"/>
      <c r="B58" s="460"/>
      <c r="C58" s="460"/>
      <c r="D58" s="485"/>
      <c r="E58" s="485"/>
      <c r="F58" s="463"/>
      <c r="G58" s="463"/>
      <c r="H58" s="486"/>
      <c r="I58" s="486"/>
      <c r="J58" s="486"/>
      <c r="K58" s="489"/>
      <c r="L58" s="490"/>
      <c r="M58" s="485"/>
      <c r="N58" s="485"/>
      <c r="O58" s="485"/>
    </row>
    <row r="59" spans="1:15">
      <c r="A59" s="107" t="s">
        <v>53</v>
      </c>
      <c r="B59" s="479" t="s">
        <v>33</v>
      </c>
      <c r="C59" s="479"/>
      <c r="D59" s="479" t="s">
        <v>33</v>
      </c>
      <c r="E59" s="479"/>
      <c r="F59" s="479" t="s">
        <v>33</v>
      </c>
      <c r="G59" s="479"/>
      <c r="H59" s="493"/>
      <c r="I59" s="493"/>
      <c r="J59" s="493"/>
      <c r="K59" s="491">
        <f>SUM(K55:L58)</f>
        <v>0</v>
      </c>
      <c r="L59" s="492"/>
      <c r="M59" s="478"/>
      <c r="N59" s="478"/>
      <c r="O59" s="478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459" t="s">
        <v>70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389" t="s">
        <v>61</v>
      </c>
      <c r="B63" s="389"/>
      <c r="C63" s="389"/>
      <c r="D63" s="389" t="s">
        <v>167</v>
      </c>
      <c r="E63" s="389"/>
      <c r="F63" s="389" t="s">
        <v>168</v>
      </c>
      <c r="G63" s="389"/>
      <c r="H63" s="389"/>
      <c r="I63" s="389"/>
      <c r="J63" s="389" t="s">
        <v>334</v>
      </c>
      <c r="K63" s="389"/>
      <c r="L63" s="389"/>
      <c r="M63" s="389"/>
      <c r="N63" s="389" t="s">
        <v>171</v>
      </c>
      <c r="O63" s="389"/>
    </row>
    <row r="64" spans="1:15" ht="42.75" customHeight="1">
      <c r="A64" s="389"/>
      <c r="B64" s="389"/>
      <c r="C64" s="389"/>
      <c r="D64" s="389"/>
      <c r="E64" s="389"/>
      <c r="F64" s="393" t="s">
        <v>169</v>
      </c>
      <c r="G64" s="393"/>
      <c r="H64" s="389" t="s">
        <v>170</v>
      </c>
      <c r="I64" s="389"/>
      <c r="J64" s="393" t="s">
        <v>169</v>
      </c>
      <c r="K64" s="393"/>
      <c r="L64" s="389" t="s">
        <v>170</v>
      </c>
      <c r="M64" s="389"/>
      <c r="N64" s="389"/>
      <c r="O64" s="389"/>
    </row>
    <row r="65" spans="1:15">
      <c r="A65" s="389">
        <v>1</v>
      </c>
      <c r="B65" s="389"/>
      <c r="C65" s="389"/>
      <c r="D65" s="464">
        <v>2</v>
      </c>
      <c r="E65" s="466"/>
      <c r="F65" s="464">
        <v>3</v>
      </c>
      <c r="G65" s="466"/>
      <c r="H65" s="422">
        <v>4</v>
      </c>
      <c r="I65" s="424"/>
      <c r="J65" s="422">
        <v>5</v>
      </c>
      <c r="K65" s="424"/>
      <c r="L65" s="422">
        <v>6</v>
      </c>
      <c r="M65" s="424"/>
      <c r="N65" s="422">
        <v>7</v>
      </c>
      <c r="O65" s="424"/>
    </row>
    <row r="66" spans="1:15" ht="20.100000000000001" customHeight="1">
      <c r="A66" s="458" t="s">
        <v>208</v>
      </c>
      <c r="B66" s="458"/>
      <c r="C66" s="458"/>
      <c r="D66" s="489"/>
      <c r="E66" s="490"/>
      <c r="F66" s="489"/>
      <c r="G66" s="490"/>
      <c r="H66" s="489"/>
      <c r="I66" s="490"/>
      <c r="J66" s="489"/>
      <c r="K66" s="490"/>
      <c r="L66" s="489"/>
      <c r="M66" s="490"/>
      <c r="N66" s="489">
        <f>D66+H66-L66</f>
        <v>0</v>
      </c>
      <c r="O66" s="490"/>
    </row>
    <row r="67" spans="1:15" ht="20.100000000000001" customHeight="1">
      <c r="A67" s="458" t="s">
        <v>90</v>
      </c>
      <c r="B67" s="458"/>
      <c r="C67" s="458"/>
      <c r="D67" s="489"/>
      <c r="E67" s="490"/>
      <c r="F67" s="489"/>
      <c r="G67" s="490"/>
      <c r="H67" s="489"/>
      <c r="I67" s="490"/>
      <c r="J67" s="489"/>
      <c r="K67" s="490"/>
      <c r="L67" s="489"/>
      <c r="M67" s="490"/>
      <c r="N67" s="489"/>
      <c r="O67" s="490"/>
    </row>
    <row r="68" spans="1:15" ht="20.100000000000001" customHeight="1">
      <c r="A68" s="458"/>
      <c r="B68" s="458"/>
      <c r="C68" s="458"/>
      <c r="D68" s="489"/>
      <c r="E68" s="490"/>
      <c r="F68" s="489"/>
      <c r="G68" s="490"/>
      <c r="H68" s="489"/>
      <c r="I68" s="490"/>
      <c r="J68" s="489"/>
      <c r="K68" s="490"/>
      <c r="L68" s="489"/>
      <c r="M68" s="490"/>
      <c r="N68" s="489"/>
      <c r="O68" s="490"/>
    </row>
    <row r="69" spans="1:15" ht="20.100000000000001" customHeight="1">
      <c r="A69" s="458" t="s">
        <v>209</v>
      </c>
      <c r="B69" s="458"/>
      <c r="C69" s="458"/>
      <c r="D69" s="489"/>
      <c r="E69" s="490"/>
      <c r="F69" s="489"/>
      <c r="G69" s="490"/>
      <c r="H69" s="489"/>
      <c r="I69" s="490"/>
      <c r="J69" s="489"/>
      <c r="K69" s="490"/>
      <c r="L69" s="489"/>
      <c r="M69" s="490"/>
      <c r="N69" s="489">
        <f>D69+H69-L69</f>
        <v>0</v>
      </c>
      <c r="O69" s="490"/>
    </row>
    <row r="70" spans="1:15" ht="20.100000000000001" customHeight="1">
      <c r="A70" s="458" t="s">
        <v>91</v>
      </c>
      <c r="B70" s="458"/>
      <c r="C70" s="458"/>
      <c r="D70" s="489"/>
      <c r="E70" s="490"/>
      <c r="F70" s="489"/>
      <c r="G70" s="490"/>
      <c r="H70" s="489"/>
      <c r="I70" s="490"/>
      <c r="J70" s="489"/>
      <c r="K70" s="490"/>
      <c r="L70" s="489"/>
      <c r="M70" s="490"/>
      <c r="N70" s="489"/>
      <c r="O70" s="490"/>
    </row>
    <row r="71" spans="1:15" ht="20.100000000000001" customHeight="1">
      <c r="A71" s="458"/>
      <c r="B71" s="458"/>
      <c r="C71" s="458"/>
      <c r="D71" s="489"/>
      <c r="E71" s="490"/>
      <c r="F71" s="489"/>
      <c r="G71" s="490"/>
      <c r="H71" s="489"/>
      <c r="I71" s="490"/>
      <c r="J71" s="489"/>
      <c r="K71" s="490"/>
      <c r="L71" s="489"/>
      <c r="M71" s="490"/>
      <c r="N71" s="489"/>
      <c r="O71" s="490"/>
    </row>
    <row r="72" spans="1:15" ht="20.100000000000001" customHeight="1">
      <c r="A72" s="458" t="s">
        <v>210</v>
      </c>
      <c r="B72" s="458"/>
      <c r="C72" s="458"/>
      <c r="D72" s="489"/>
      <c r="E72" s="490"/>
      <c r="F72" s="489"/>
      <c r="G72" s="490"/>
      <c r="H72" s="489"/>
      <c r="I72" s="490"/>
      <c r="J72" s="489"/>
      <c r="K72" s="490"/>
      <c r="L72" s="489"/>
      <c r="M72" s="490"/>
      <c r="N72" s="489">
        <f>D72+H72-L72</f>
        <v>0</v>
      </c>
      <c r="O72" s="490"/>
    </row>
    <row r="73" spans="1:15" ht="20.100000000000001" customHeight="1">
      <c r="A73" s="458" t="s">
        <v>90</v>
      </c>
      <c r="B73" s="458"/>
      <c r="C73" s="458"/>
      <c r="D73" s="489"/>
      <c r="E73" s="490"/>
      <c r="F73" s="489"/>
      <c r="G73" s="490"/>
      <c r="H73" s="489"/>
      <c r="I73" s="490"/>
      <c r="J73" s="489"/>
      <c r="K73" s="490"/>
      <c r="L73" s="489"/>
      <c r="M73" s="490"/>
      <c r="N73" s="489"/>
      <c r="O73" s="490"/>
    </row>
    <row r="74" spans="1:15" ht="20.100000000000001" customHeight="1">
      <c r="A74" s="458"/>
      <c r="B74" s="458"/>
      <c r="C74" s="458"/>
      <c r="D74" s="489"/>
      <c r="E74" s="490"/>
      <c r="F74" s="489"/>
      <c r="G74" s="490"/>
      <c r="H74" s="489"/>
      <c r="I74" s="490"/>
      <c r="J74" s="489"/>
      <c r="K74" s="490"/>
      <c r="L74" s="489"/>
      <c r="M74" s="490"/>
      <c r="N74" s="489"/>
      <c r="O74" s="490"/>
    </row>
    <row r="75" spans="1:15" ht="24.95" customHeight="1">
      <c r="A75" s="425" t="s">
        <v>53</v>
      </c>
      <c r="B75" s="425"/>
      <c r="C75" s="425"/>
      <c r="D75" s="491">
        <f>SUM(D66,D69,D72)</f>
        <v>0</v>
      </c>
      <c r="E75" s="492"/>
      <c r="F75" s="491">
        <f>SUM(F66,F69,F72)</f>
        <v>0</v>
      </c>
      <c r="G75" s="492"/>
      <c r="H75" s="491">
        <f>SUM(H66,H69,H72)</f>
        <v>0</v>
      </c>
      <c r="I75" s="492"/>
      <c r="J75" s="491">
        <f>SUM(J66,J69,J72)</f>
        <v>0</v>
      </c>
      <c r="K75" s="492"/>
      <c r="L75" s="491">
        <f>SUM(L66,L69,L72)</f>
        <v>0</v>
      </c>
      <c r="M75" s="492"/>
      <c r="N75" s="491">
        <f>D75+H75-L75</f>
        <v>0</v>
      </c>
      <c r="O75" s="492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A22:B22"/>
    <mergeCell ref="A11:B11"/>
    <mergeCell ref="A12:B12"/>
    <mergeCell ref="A13:B13"/>
    <mergeCell ref="A14:B14"/>
    <mergeCell ref="C13:E13"/>
    <mergeCell ref="C14:E14"/>
    <mergeCell ref="C15:E15"/>
    <mergeCell ref="C20:E20"/>
    <mergeCell ref="C21:E21"/>
    <mergeCell ref="A15:B15"/>
    <mergeCell ref="A16:B16"/>
    <mergeCell ref="A17:B17"/>
    <mergeCell ref="C16:E16"/>
    <mergeCell ref="C17:E17"/>
    <mergeCell ref="C18:E18"/>
    <mergeCell ref="A18:B18"/>
    <mergeCell ref="A19:B19"/>
    <mergeCell ref="A20:B20"/>
    <mergeCell ref="A21:B21"/>
    <mergeCell ref="N16:O16"/>
    <mergeCell ref="N17:O17"/>
    <mergeCell ref="F35:O35"/>
    <mergeCell ref="A30:O30"/>
    <mergeCell ref="A28:O28"/>
    <mergeCell ref="B33:E33"/>
    <mergeCell ref="L13:M13"/>
    <mergeCell ref="F17:H17"/>
    <mergeCell ref="L15:M15"/>
    <mergeCell ref="L16:M16"/>
    <mergeCell ref="F15:H15"/>
    <mergeCell ref="F16:H16"/>
    <mergeCell ref="N14:O14"/>
    <mergeCell ref="N15:O15"/>
    <mergeCell ref="L14:M14"/>
    <mergeCell ref="N20:O20"/>
    <mergeCell ref="L17:M17"/>
    <mergeCell ref="I17:K17"/>
    <mergeCell ref="I15:K15"/>
    <mergeCell ref="I16:K16"/>
    <mergeCell ref="C19:E19"/>
    <mergeCell ref="A26:B26"/>
    <mergeCell ref="A23:B23"/>
    <mergeCell ref="A24:B24"/>
    <mergeCell ref="N12:O12"/>
    <mergeCell ref="I13:K13"/>
    <mergeCell ref="I14:K14"/>
    <mergeCell ref="N10:O10"/>
    <mergeCell ref="N11:O11"/>
    <mergeCell ref="L10:M10"/>
    <mergeCell ref="A9:B9"/>
    <mergeCell ref="N13:O13"/>
    <mergeCell ref="I10:K10"/>
    <mergeCell ref="I11:K11"/>
    <mergeCell ref="C9:E9"/>
    <mergeCell ref="C10:E10"/>
    <mergeCell ref="C11:E11"/>
    <mergeCell ref="F13:H13"/>
    <mergeCell ref="F14:H14"/>
    <mergeCell ref="F9:H9"/>
    <mergeCell ref="F10:H10"/>
    <mergeCell ref="F11:H11"/>
    <mergeCell ref="F12:H12"/>
    <mergeCell ref="I9:K9"/>
    <mergeCell ref="L11:M11"/>
    <mergeCell ref="L12:M12"/>
    <mergeCell ref="C12:E12"/>
    <mergeCell ref="A10:B10"/>
    <mergeCell ref="A3:O3"/>
    <mergeCell ref="A4:O4"/>
    <mergeCell ref="A5:O5"/>
    <mergeCell ref="A7:O7"/>
    <mergeCell ref="L9:M9"/>
    <mergeCell ref="N9:O9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F36:O36"/>
    <mergeCell ref="L23:M23"/>
    <mergeCell ref="L24:M24"/>
    <mergeCell ref="L19:M19"/>
    <mergeCell ref="L20:M20"/>
    <mergeCell ref="L21:M21"/>
    <mergeCell ref="N18:O18"/>
    <mergeCell ref="N19:O19"/>
    <mergeCell ref="F53:G53"/>
    <mergeCell ref="H53:J53"/>
    <mergeCell ref="K53:L53"/>
    <mergeCell ref="M53:O53"/>
    <mergeCell ref="B53:C53"/>
    <mergeCell ref="G42:I42"/>
    <mergeCell ref="A49:C49"/>
    <mergeCell ref="A44:C44"/>
    <mergeCell ref="A47:C47"/>
    <mergeCell ref="A48:C48"/>
    <mergeCell ref="A45:C45"/>
    <mergeCell ref="A46:C46"/>
    <mergeCell ref="H65:I65"/>
    <mergeCell ref="K59:L59"/>
    <mergeCell ref="J65:K65"/>
    <mergeCell ref="J63:M63"/>
    <mergeCell ref="J64:K64"/>
    <mergeCell ref="L64:M64"/>
    <mergeCell ref="H66:I66"/>
    <mergeCell ref="L65:M65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H54:J54"/>
    <mergeCell ref="K56:L56"/>
    <mergeCell ref="M56:O56"/>
    <mergeCell ref="M58:O58"/>
    <mergeCell ref="K58:L58"/>
    <mergeCell ref="H59:J59"/>
    <mergeCell ref="K57:L57"/>
    <mergeCell ref="F69:G69"/>
    <mergeCell ref="H70:I70"/>
    <mergeCell ref="N69:O69"/>
    <mergeCell ref="N68:O68"/>
    <mergeCell ref="D67:E67"/>
    <mergeCell ref="F67:G67"/>
    <mergeCell ref="H69:I69"/>
    <mergeCell ref="J69:K69"/>
    <mergeCell ref="H67:I67"/>
    <mergeCell ref="H68:I68"/>
    <mergeCell ref="J71:K71"/>
    <mergeCell ref="L71:M71"/>
    <mergeCell ref="H71:I71"/>
    <mergeCell ref="N70:O70"/>
    <mergeCell ref="N66:O66"/>
    <mergeCell ref="H64:I64"/>
    <mergeCell ref="J66:K66"/>
    <mergeCell ref="F73:G73"/>
    <mergeCell ref="H73:I73"/>
    <mergeCell ref="L67:M67"/>
    <mergeCell ref="N67:O67"/>
    <mergeCell ref="N65:O65"/>
    <mergeCell ref="F66:G66"/>
    <mergeCell ref="N73:O73"/>
    <mergeCell ref="L73:M73"/>
    <mergeCell ref="N71:O71"/>
    <mergeCell ref="L66:M66"/>
    <mergeCell ref="J73:K73"/>
    <mergeCell ref="J67:K67"/>
    <mergeCell ref="L68:M68"/>
    <mergeCell ref="J68:K68"/>
    <mergeCell ref="L70:M70"/>
    <mergeCell ref="J70:K70"/>
    <mergeCell ref="L69:M69"/>
    <mergeCell ref="A66:C66"/>
    <mergeCell ref="A65:C65"/>
    <mergeCell ref="D65:E65"/>
    <mergeCell ref="F65:G65"/>
    <mergeCell ref="D66:E66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A67:C67"/>
    <mergeCell ref="D73:E73"/>
    <mergeCell ref="D72:E72"/>
    <mergeCell ref="F72:G72"/>
    <mergeCell ref="A68:C68"/>
    <mergeCell ref="D70:E70"/>
    <mergeCell ref="A70:C70"/>
    <mergeCell ref="F70:G70"/>
    <mergeCell ref="D69:E69"/>
    <mergeCell ref="H72:I72"/>
    <mergeCell ref="J72:K72"/>
    <mergeCell ref="L72:M72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2:O72"/>
    <mergeCell ref="I21:K21"/>
    <mergeCell ref="F18:H18"/>
    <mergeCell ref="F19:H19"/>
    <mergeCell ref="F20:H20"/>
    <mergeCell ref="C22:E22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F56:G56"/>
    <mergeCell ref="F57:G57"/>
    <mergeCell ref="H57:J57"/>
    <mergeCell ref="H56:J56"/>
    <mergeCell ref="B58:C58"/>
    <mergeCell ref="D58:E58"/>
    <mergeCell ref="F58:G58"/>
    <mergeCell ref="H58:J58"/>
    <mergeCell ref="B56:C56"/>
    <mergeCell ref="N21:O21"/>
    <mergeCell ref="L18:M18"/>
    <mergeCell ref="F24:H24"/>
    <mergeCell ref="N25:O25"/>
    <mergeCell ref="N26:O26"/>
    <mergeCell ref="L26:M26"/>
    <mergeCell ref="I25:K25"/>
    <mergeCell ref="I26:K26"/>
    <mergeCell ref="I24:K24"/>
    <mergeCell ref="F26:H26"/>
    <mergeCell ref="N22:O22"/>
    <mergeCell ref="N23:O23"/>
    <mergeCell ref="N24:O24"/>
    <mergeCell ref="F25:H25"/>
    <mergeCell ref="I22:K22"/>
    <mergeCell ref="I23:K23"/>
    <mergeCell ref="L22:M22"/>
    <mergeCell ref="L25:M25"/>
    <mergeCell ref="F22:H22"/>
    <mergeCell ref="F23:H23"/>
    <mergeCell ref="F21:H21"/>
    <mergeCell ref="I18:K18"/>
    <mergeCell ref="I19:K19"/>
    <mergeCell ref="I20:K20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A40:J40"/>
    <mergeCell ref="D42:F42"/>
    <mergeCell ref="J42:L42"/>
    <mergeCell ref="F39:O39"/>
    <mergeCell ref="B38:E38"/>
    <mergeCell ref="B39:E39"/>
    <mergeCell ref="F38:O38"/>
    <mergeCell ref="F32:O32"/>
    <mergeCell ref="B32:E32"/>
    <mergeCell ref="M57:O57"/>
    <mergeCell ref="F55:G55"/>
    <mergeCell ref="D53:E53"/>
    <mergeCell ref="M54:O54"/>
    <mergeCell ref="M42:O42"/>
    <mergeCell ref="A51:O51"/>
  </mergeCells>
  <phoneticPr fontId="4" type="noConversion"/>
  <pageMargins left="0.59055118110236227" right="0.59055118110236227" top="0.78740157480314965" bottom="0.78740157480314965" header="0.31496062992125984" footer="0.15748031496062992"/>
  <pageSetup paperSize="9" scale="49" orientation="landscape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O11 N11:N22 M45:O47 N24 N26" evalError="1"/>
    <ignoredError sqref="F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F41"/>
    <pageSetUpPr fitToPage="1"/>
  </sheetPr>
  <dimension ref="A1:AX120"/>
  <sheetViews>
    <sheetView zoomScale="55" zoomScaleNormal="55" workbookViewId="0">
      <selection activeCell="R9" sqref="R9:T9"/>
    </sheetView>
  </sheetViews>
  <sheetFormatPr defaultRowHeight="18.75" outlineLevelCol="1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 outlineLevel="1"/>
    <col min="14" max="14" width="12.5703125" style="2" customWidth="1" outlineLevel="1"/>
    <col min="15" max="15" width="14.5703125" style="2" customWidth="1" outlineLevel="1"/>
    <col min="16" max="16" width="14" style="2" customWidth="1" outlineLevel="1"/>
    <col min="17" max="17" width="12.5703125" style="2" customWidth="1" outlineLevel="1"/>
    <col min="18" max="18" width="12.28515625" style="2" customWidth="1" outlineLevel="1"/>
    <col min="19" max="19" width="14.5703125" style="2" customWidth="1" outlineLevel="1"/>
    <col min="20" max="20" width="14" style="2" customWidth="1" outlineLevel="1"/>
    <col min="21" max="21" width="12.5703125" style="2" customWidth="1" outlineLevel="1"/>
    <col min="22" max="22" width="12.28515625" style="2" customWidth="1" outlineLevel="1"/>
    <col min="23" max="23" width="14.85546875" style="2" customWidth="1" outlineLevel="1"/>
    <col min="24" max="24" width="14" style="2" customWidth="1" outlineLevel="1"/>
    <col min="25" max="25" width="12.5703125" style="2" customWidth="1" outlineLevel="1"/>
    <col min="26" max="26" width="12.28515625" style="2" customWidth="1" outlineLevel="1"/>
    <col min="27" max="27" width="14.5703125" style="2" customWidth="1" outlineLevel="1"/>
    <col min="28" max="28" width="13.7109375" style="2" customWidth="1" outlineLevel="1"/>
    <col min="29" max="29" width="14.140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1" t="s">
        <v>320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ht="45.75" customHeight="1">
      <c r="A3" s="527" t="s">
        <v>49</v>
      </c>
      <c r="B3" s="529" t="s">
        <v>138</v>
      </c>
      <c r="C3" s="530"/>
      <c r="D3" s="452" t="s">
        <v>139</v>
      </c>
      <c r="E3" s="453"/>
      <c r="F3" s="453"/>
      <c r="G3" s="452" t="s">
        <v>227</v>
      </c>
      <c r="H3" s="453"/>
      <c r="I3" s="453"/>
      <c r="J3" s="453"/>
      <c r="K3" s="453"/>
      <c r="L3" s="453"/>
      <c r="M3" s="453"/>
      <c r="N3" s="453"/>
      <c r="O3" s="453"/>
      <c r="P3" s="453"/>
      <c r="Q3" s="454"/>
      <c r="R3" s="422" t="s">
        <v>140</v>
      </c>
      <c r="S3" s="423"/>
      <c r="T3" s="423"/>
      <c r="U3" s="423"/>
      <c r="V3" s="423"/>
      <c r="W3" s="423"/>
      <c r="X3" s="423"/>
      <c r="Y3" s="423"/>
      <c r="Z3" s="424"/>
      <c r="AA3" s="389" t="s">
        <v>416</v>
      </c>
      <c r="AB3" s="393"/>
      <c r="AC3" s="393"/>
      <c r="AD3" s="389" t="s">
        <v>417</v>
      </c>
      <c r="AE3" s="393"/>
      <c r="AF3" s="393"/>
    </row>
    <row r="4" spans="1:32" ht="77.25" customHeight="1">
      <c r="A4" s="528"/>
      <c r="B4" s="531"/>
      <c r="C4" s="532"/>
      <c r="D4" s="455"/>
      <c r="E4" s="456"/>
      <c r="F4" s="456"/>
      <c r="G4" s="455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64" t="s">
        <v>351</v>
      </c>
      <c r="S4" s="465"/>
      <c r="T4" s="466"/>
      <c r="U4" s="464" t="s">
        <v>352</v>
      </c>
      <c r="V4" s="465"/>
      <c r="W4" s="466"/>
      <c r="X4" s="464" t="s">
        <v>353</v>
      </c>
      <c r="Y4" s="465"/>
      <c r="Z4" s="466"/>
      <c r="AA4" s="393"/>
      <c r="AB4" s="393"/>
      <c r="AC4" s="393"/>
      <c r="AD4" s="393"/>
      <c r="AE4" s="393"/>
      <c r="AF4" s="393"/>
    </row>
    <row r="5" spans="1:32" ht="18.75" customHeight="1">
      <c r="A5" s="93">
        <v>1</v>
      </c>
      <c r="B5" s="541">
        <v>2</v>
      </c>
      <c r="C5" s="542"/>
      <c r="D5" s="543">
        <v>3</v>
      </c>
      <c r="E5" s="544"/>
      <c r="F5" s="544"/>
      <c r="G5" s="543">
        <v>4</v>
      </c>
      <c r="H5" s="544"/>
      <c r="I5" s="544"/>
      <c r="J5" s="544"/>
      <c r="K5" s="544"/>
      <c r="L5" s="544"/>
      <c r="M5" s="544"/>
      <c r="N5" s="544"/>
      <c r="O5" s="544"/>
      <c r="P5" s="544"/>
      <c r="Q5" s="545"/>
      <c r="R5" s="543">
        <v>5</v>
      </c>
      <c r="S5" s="544"/>
      <c r="T5" s="545"/>
      <c r="U5" s="543">
        <v>6</v>
      </c>
      <c r="V5" s="544"/>
      <c r="W5" s="545"/>
      <c r="X5" s="555">
        <v>7</v>
      </c>
      <c r="Y5" s="556"/>
      <c r="Z5" s="557"/>
      <c r="AA5" s="555">
        <v>8</v>
      </c>
      <c r="AB5" s="556"/>
      <c r="AC5" s="557"/>
      <c r="AD5" s="555">
        <v>9</v>
      </c>
      <c r="AE5" s="556"/>
      <c r="AF5" s="557"/>
    </row>
    <row r="6" spans="1:32" ht="20.100000000000001" customHeight="1">
      <c r="A6" s="93"/>
      <c r="B6" s="546" t="s">
        <v>543</v>
      </c>
      <c r="C6" s="547"/>
      <c r="D6" s="548">
        <v>1998</v>
      </c>
      <c r="E6" s="549"/>
      <c r="F6" s="549"/>
      <c r="G6" s="548" t="s">
        <v>544</v>
      </c>
      <c r="H6" s="549"/>
      <c r="I6" s="549"/>
      <c r="J6" s="549"/>
      <c r="K6" s="549"/>
      <c r="L6" s="549"/>
      <c r="M6" s="549"/>
      <c r="N6" s="549"/>
      <c r="O6" s="549"/>
      <c r="P6" s="549"/>
      <c r="Q6" s="550"/>
      <c r="R6" s="449">
        <v>17.7</v>
      </c>
      <c r="S6" s="450"/>
      <c r="T6" s="451"/>
      <c r="U6" s="449">
        <f>-'I. Фін результат'!E36</f>
        <v>26</v>
      </c>
      <c r="V6" s="450"/>
      <c r="W6" s="451"/>
      <c r="X6" s="449">
        <f>-'I. Фін результат'!F36</f>
        <v>12</v>
      </c>
      <c r="Y6" s="450"/>
      <c r="Z6" s="451"/>
      <c r="AA6" s="489">
        <f>X6-U6</f>
        <v>-14</v>
      </c>
      <c r="AB6" s="558"/>
      <c r="AC6" s="490"/>
      <c r="AD6" s="519">
        <f>(X6/U6)*100</f>
        <v>46.153846153846153</v>
      </c>
      <c r="AE6" s="551"/>
      <c r="AF6" s="520"/>
    </row>
    <row r="7" spans="1:32" ht="20.100000000000001" customHeight="1">
      <c r="A7" s="93"/>
      <c r="B7" s="546"/>
      <c r="C7" s="547"/>
      <c r="D7" s="548"/>
      <c r="E7" s="549"/>
      <c r="F7" s="549"/>
      <c r="G7" s="548"/>
      <c r="H7" s="549"/>
      <c r="I7" s="549"/>
      <c r="J7" s="549"/>
      <c r="K7" s="549"/>
      <c r="L7" s="549"/>
      <c r="M7" s="549"/>
      <c r="N7" s="549"/>
      <c r="O7" s="549"/>
      <c r="P7" s="549"/>
      <c r="Q7" s="550"/>
      <c r="R7" s="519"/>
      <c r="S7" s="551"/>
      <c r="T7" s="520"/>
      <c r="U7" s="519"/>
      <c r="V7" s="551"/>
      <c r="W7" s="520"/>
      <c r="X7" s="489"/>
      <c r="Y7" s="558"/>
      <c r="Z7" s="490"/>
      <c r="AA7" s="489">
        <f>X7-U7</f>
        <v>0</v>
      </c>
      <c r="AB7" s="558"/>
      <c r="AC7" s="490"/>
      <c r="AD7" s="519" t="e">
        <f>(X7/U7)*100</f>
        <v>#DIV/0!</v>
      </c>
      <c r="AE7" s="551"/>
      <c r="AF7" s="520"/>
    </row>
    <row r="8" spans="1:32" ht="20.100000000000001" customHeight="1">
      <c r="A8" s="93"/>
      <c r="B8" s="546"/>
      <c r="C8" s="547"/>
      <c r="D8" s="548"/>
      <c r="E8" s="549"/>
      <c r="F8" s="549"/>
      <c r="G8" s="548"/>
      <c r="H8" s="549"/>
      <c r="I8" s="549"/>
      <c r="J8" s="549"/>
      <c r="K8" s="549"/>
      <c r="L8" s="549"/>
      <c r="M8" s="549"/>
      <c r="N8" s="549"/>
      <c r="O8" s="549"/>
      <c r="P8" s="549"/>
      <c r="Q8" s="550"/>
      <c r="R8" s="519"/>
      <c r="S8" s="551"/>
      <c r="T8" s="520"/>
      <c r="U8" s="519"/>
      <c r="V8" s="551"/>
      <c r="W8" s="520"/>
      <c r="X8" s="489"/>
      <c r="Y8" s="558"/>
      <c r="Z8" s="490"/>
      <c r="AA8" s="489">
        <f>X8-U8</f>
        <v>0</v>
      </c>
      <c r="AB8" s="558"/>
      <c r="AC8" s="490"/>
      <c r="AD8" s="519" t="e">
        <f>(X8/U8)*100</f>
        <v>#DIV/0!</v>
      </c>
      <c r="AE8" s="551"/>
      <c r="AF8" s="520"/>
    </row>
    <row r="9" spans="1:32" ht="24.95" customHeight="1">
      <c r="A9" s="565" t="s">
        <v>53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7"/>
      <c r="R9" s="538">
        <f>SUM(R6:R8)</f>
        <v>17.7</v>
      </c>
      <c r="S9" s="539"/>
      <c r="T9" s="540"/>
      <c r="U9" s="538">
        <f>SUM(U6:U8)</f>
        <v>26</v>
      </c>
      <c r="V9" s="539"/>
      <c r="W9" s="540"/>
      <c r="X9" s="538">
        <f>SUM(X6:X8)</f>
        <v>12</v>
      </c>
      <c r="Y9" s="539"/>
      <c r="Z9" s="540"/>
      <c r="AA9" s="491">
        <f>X9-U9</f>
        <v>-14</v>
      </c>
      <c r="AB9" s="564"/>
      <c r="AC9" s="492"/>
      <c r="AD9" s="538">
        <f>(X9/U9)*100</f>
        <v>46.153846153846153</v>
      </c>
      <c r="AE9" s="539"/>
      <c r="AF9" s="540"/>
    </row>
    <row r="10" spans="1:32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  <c r="AF10" s="97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245"/>
      <c r="AF11" s="245"/>
    </row>
    <row r="12" spans="1:32" ht="11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245"/>
      <c r="AF12" s="245"/>
    </row>
    <row r="13" spans="1:32" s="41" customFormat="1" ht="18.75" customHeight="1">
      <c r="C13" s="41" t="s">
        <v>321</v>
      </c>
    </row>
    <row r="14" spans="1:32" s="41" customFormat="1" ht="18.75" customHeight="1"/>
    <row r="15" spans="1:32" ht="45.75" customHeight="1">
      <c r="A15" s="432" t="s">
        <v>49</v>
      </c>
      <c r="B15" s="529" t="s">
        <v>141</v>
      </c>
      <c r="C15" s="530"/>
      <c r="D15" s="389" t="s">
        <v>138</v>
      </c>
      <c r="E15" s="389"/>
      <c r="F15" s="389"/>
      <c r="G15" s="389"/>
      <c r="H15" s="452" t="s">
        <v>227</v>
      </c>
      <c r="I15" s="453"/>
      <c r="J15" s="453"/>
      <c r="K15" s="453"/>
      <c r="L15" s="453"/>
      <c r="M15" s="453"/>
      <c r="N15" s="453"/>
      <c r="O15" s="454"/>
      <c r="P15" s="452" t="s">
        <v>350</v>
      </c>
      <c r="Q15" s="454"/>
      <c r="R15" s="422" t="s">
        <v>140</v>
      </c>
      <c r="S15" s="423"/>
      <c r="T15" s="423"/>
      <c r="U15" s="423"/>
      <c r="V15" s="423"/>
      <c r="W15" s="423"/>
      <c r="X15" s="423"/>
      <c r="Y15" s="423"/>
      <c r="Z15" s="424"/>
      <c r="AA15" s="389" t="s">
        <v>416</v>
      </c>
      <c r="AB15" s="393"/>
      <c r="AC15" s="393"/>
      <c r="AD15" s="389" t="s">
        <v>417</v>
      </c>
      <c r="AE15" s="393"/>
      <c r="AF15" s="393"/>
    </row>
    <row r="16" spans="1:32" ht="24.95" customHeight="1">
      <c r="A16" s="432"/>
      <c r="B16" s="568"/>
      <c r="C16" s="569"/>
      <c r="D16" s="389"/>
      <c r="E16" s="389"/>
      <c r="F16" s="389"/>
      <c r="G16" s="389"/>
      <c r="H16" s="570"/>
      <c r="I16" s="571"/>
      <c r="J16" s="571"/>
      <c r="K16" s="571"/>
      <c r="L16" s="571"/>
      <c r="M16" s="571"/>
      <c r="N16" s="571"/>
      <c r="O16" s="572"/>
      <c r="P16" s="570"/>
      <c r="Q16" s="572"/>
      <c r="R16" s="452" t="s">
        <v>351</v>
      </c>
      <c r="S16" s="453"/>
      <c r="T16" s="454"/>
      <c r="U16" s="452" t="s">
        <v>352</v>
      </c>
      <c r="V16" s="453"/>
      <c r="W16" s="454"/>
      <c r="X16" s="452" t="s">
        <v>353</v>
      </c>
      <c r="Y16" s="559"/>
      <c r="Z16" s="560"/>
      <c r="AA16" s="393"/>
      <c r="AB16" s="393"/>
      <c r="AC16" s="393"/>
      <c r="AD16" s="393"/>
      <c r="AE16" s="393"/>
      <c r="AF16" s="393"/>
    </row>
    <row r="17" spans="1:32" ht="48" customHeight="1">
      <c r="A17" s="432"/>
      <c r="B17" s="531"/>
      <c r="C17" s="532"/>
      <c r="D17" s="389"/>
      <c r="E17" s="389"/>
      <c r="F17" s="389"/>
      <c r="G17" s="389"/>
      <c r="H17" s="455"/>
      <c r="I17" s="456"/>
      <c r="J17" s="456"/>
      <c r="K17" s="456"/>
      <c r="L17" s="456"/>
      <c r="M17" s="456"/>
      <c r="N17" s="456"/>
      <c r="O17" s="457"/>
      <c r="P17" s="455"/>
      <c r="Q17" s="457"/>
      <c r="R17" s="455"/>
      <c r="S17" s="456"/>
      <c r="T17" s="457"/>
      <c r="U17" s="455"/>
      <c r="V17" s="456"/>
      <c r="W17" s="457"/>
      <c r="X17" s="561"/>
      <c r="Y17" s="562"/>
      <c r="Z17" s="563"/>
      <c r="AA17" s="393"/>
      <c r="AB17" s="393"/>
      <c r="AC17" s="393"/>
      <c r="AD17" s="393"/>
      <c r="AE17" s="393"/>
      <c r="AF17" s="393"/>
    </row>
    <row r="18" spans="1:32" ht="18.75" customHeight="1">
      <c r="A18" s="61">
        <v>1</v>
      </c>
      <c r="B18" s="541">
        <v>2</v>
      </c>
      <c r="C18" s="542"/>
      <c r="D18" s="573">
        <v>3</v>
      </c>
      <c r="E18" s="573"/>
      <c r="F18" s="573"/>
      <c r="G18" s="573"/>
      <c r="H18" s="543">
        <v>4</v>
      </c>
      <c r="I18" s="544"/>
      <c r="J18" s="544"/>
      <c r="K18" s="544"/>
      <c r="L18" s="544"/>
      <c r="M18" s="544"/>
      <c r="N18" s="544"/>
      <c r="O18" s="545"/>
      <c r="P18" s="543">
        <v>5</v>
      </c>
      <c r="Q18" s="545"/>
      <c r="R18" s="543">
        <v>6</v>
      </c>
      <c r="S18" s="544"/>
      <c r="T18" s="545"/>
      <c r="U18" s="543">
        <v>7</v>
      </c>
      <c r="V18" s="544"/>
      <c r="W18" s="545"/>
      <c r="X18" s="543">
        <v>8</v>
      </c>
      <c r="Y18" s="544"/>
      <c r="Z18" s="545"/>
      <c r="AA18" s="543">
        <v>9</v>
      </c>
      <c r="AB18" s="544"/>
      <c r="AC18" s="545"/>
      <c r="AD18" s="543">
        <v>10</v>
      </c>
      <c r="AE18" s="544"/>
      <c r="AF18" s="545"/>
    </row>
    <row r="19" spans="1:32" ht="20.100000000000001" customHeight="1">
      <c r="A19" s="86"/>
      <c r="B19" s="533"/>
      <c r="C19" s="534"/>
      <c r="D19" s="535"/>
      <c r="E19" s="535"/>
      <c r="F19" s="535"/>
      <c r="G19" s="535"/>
      <c r="H19" s="552"/>
      <c r="I19" s="553"/>
      <c r="J19" s="553"/>
      <c r="K19" s="553"/>
      <c r="L19" s="553"/>
      <c r="M19" s="553"/>
      <c r="N19" s="553"/>
      <c r="O19" s="554"/>
      <c r="P19" s="536"/>
      <c r="Q19" s="537"/>
      <c r="R19" s="489"/>
      <c r="S19" s="558"/>
      <c r="T19" s="490"/>
      <c r="U19" s="489"/>
      <c r="V19" s="558"/>
      <c r="W19" s="490"/>
      <c r="X19" s="489"/>
      <c r="Y19" s="558"/>
      <c r="Z19" s="490"/>
      <c r="AA19" s="489">
        <f>X19-U19</f>
        <v>0</v>
      </c>
      <c r="AB19" s="558"/>
      <c r="AC19" s="490"/>
      <c r="AD19" s="519" t="e">
        <f>(X19/U19)*100</f>
        <v>#DIV/0!</v>
      </c>
      <c r="AE19" s="551"/>
      <c r="AF19" s="520"/>
    </row>
    <row r="20" spans="1:32" ht="24.95" customHeight="1">
      <c r="A20" s="565" t="s">
        <v>53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7"/>
      <c r="R20" s="491">
        <f>SUM(R19:R19)</f>
        <v>0</v>
      </c>
      <c r="S20" s="564"/>
      <c r="T20" s="492"/>
      <c r="U20" s="491">
        <f>SUM(U19:U19)</f>
        <v>0</v>
      </c>
      <c r="V20" s="564"/>
      <c r="W20" s="492"/>
      <c r="X20" s="491">
        <f>SUM(X19:X19)</f>
        <v>0</v>
      </c>
      <c r="Y20" s="564"/>
      <c r="Z20" s="492"/>
      <c r="AA20" s="491">
        <f>X20-U20</f>
        <v>0</v>
      </c>
      <c r="AB20" s="564"/>
      <c r="AC20" s="492"/>
      <c r="AD20" s="538" t="e">
        <f>(X20/U20)*100</f>
        <v>#DIV/0!</v>
      </c>
      <c r="AE20" s="539"/>
      <c r="AF20" s="540"/>
    </row>
    <row r="21" spans="1:32" ht="18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9"/>
      <c r="U21" s="29"/>
      <c r="V21" s="29"/>
      <c r="AF21" s="29"/>
    </row>
    <row r="22" spans="1:32" ht="18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9"/>
      <c r="U22" s="29"/>
      <c r="V22" s="29"/>
      <c r="AF22" s="29"/>
    </row>
    <row r="23" spans="1:32" ht="18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9"/>
      <c r="U23" s="29"/>
      <c r="V23" s="29"/>
      <c r="AF23" s="29"/>
    </row>
    <row r="24" spans="1:32" ht="18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9"/>
      <c r="U24" s="29"/>
      <c r="V24" s="29"/>
      <c r="AF24" s="29"/>
    </row>
    <row r="25" spans="1:32" ht="18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9"/>
      <c r="U25" s="29"/>
      <c r="V25" s="29"/>
      <c r="AF25" s="29"/>
    </row>
    <row r="26" spans="1:32" s="41" customFormat="1" ht="18.75" customHeight="1">
      <c r="C26" s="41" t="s">
        <v>149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32">
      <c r="A27" s="26"/>
      <c r="B27" s="26"/>
      <c r="C27" s="26"/>
      <c r="D27" s="26"/>
      <c r="E27" s="26"/>
      <c r="F27" s="26"/>
      <c r="G27" s="26"/>
      <c r="H27" s="26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26"/>
      <c r="Z27" s="576"/>
      <c r="AA27" s="576"/>
      <c r="AB27" s="576"/>
      <c r="AD27" s="592" t="s">
        <v>418</v>
      </c>
      <c r="AE27" s="592"/>
      <c r="AF27" s="592"/>
    </row>
    <row r="28" spans="1:32" ht="57.75" customHeight="1">
      <c r="A28" s="527" t="s">
        <v>49</v>
      </c>
      <c r="B28" s="529" t="s">
        <v>173</v>
      </c>
      <c r="C28" s="577"/>
      <c r="D28" s="577"/>
      <c r="E28" s="577"/>
      <c r="F28" s="577"/>
      <c r="G28" s="577"/>
      <c r="H28" s="577"/>
      <c r="I28" s="577"/>
      <c r="J28" s="577"/>
      <c r="K28" s="577"/>
      <c r="L28" s="530"/>
      <c r="M28" s="580" t="s">
        <v>52</v>
      </c>
      <c r="N28" s="581"/>
      <c r="O28" s="581"/>
      <c r="P28" s="582"/>
      <c r="Q28" s="580" t="s">
        <v>80</v>
      </c>
      <c r="R28" s="581"/>
      <c r="S28" s="581"/>
      <c r="T28" s="582"/>
      <c r="U28" s="580" t="s">
        <v>207</v>
      </c>
      <c r="V28" s="581"/>
      <c r="W28" s="581"/>
      <c r="X28" s="582"/>
      <c r="Y28" s="580" t="s">
        <v>531</v>
      </c>
      <c r="Z28" s="581"/>
      <c r="AA28" s="581"/>
      <c r="AB28" s="582"/>
      <c r="AC28" s="580" t="s">
        <v>53</v>
      </c>
      <c r="AD28" s="581"/>
      <c r="AE28" s="581"/>
      <c r="AF28" s="582"/>
    </row>
    <row r="29" spans="1:32" ht="24.95" customHeight="1">
      <c r="A29" s="587"/>
      <c r="B29" s="568"/>
      <c r="C29" s="578"/>
      <c r="D29" s="578"/>
      <c r="E29" s="578"/>
      <c r="F29" s="578"/>
      <c r="G29" s="578"/>
      <c r="H29" s="578"/>
      <c r="I29" s="578"/>
      <c r="J29" s="578"/>
      <c r="K29" s="578"/>
      <c r="L29" s="569"/>
      <c r="M29" s="574" t="s">
        <v>169</v>
      </c>
      <c r="N29" s="574" t="s">
        <v>170</v>
      </c>
      <c r="O29" s="574" t="s">
        <v>189</v>
      </c>
      <c r="P29" s="574" t="s">
        <v>190</v>
      </c>
      <c r="Q29" s="574" t="s">
        <v>169</v>
      </c>
      <c r="R29" s="574" t="s">
        <v>170</v>
      </c>
      <c r="S29" s="574" t="s">
        <v>189</v>
      </c>
      <c r="T29" s="574" t="s">
        <v>190</v>
      </c>
      <c r="U29" s="574" t="s">
        <v>169</v>
      </c>
      <c r="V29" s="574" t="s">
        <v>170</v>
      </c>
      <c r="W29" s="574" t="s">
        <v>189</v>
      </c>
      <c r="X29" s="574" t="s">
        <v>190</v>
      </c>
      <c r="Y29" s="574" t="s">
        <v>169</v>
      </c>
      <c r="Z29" s="574" t="s">
        <v>170</v>
      </c>
      <c r="AA29" s="574" t="s">
        <v>189</v>
      </c>
      <c r="AB29" s="574" t="s">
        <v>190</v>
      </c>
      <c r="AC29" s="574" t="s">
        <v>169</v>
      </c>
      <c r="AD29" s="574" t="s">
        <v>170</v>
      </c>
      <c r="AE29" s="574" t="s">
        <v>189</v>
      </c>
      <c r="AF29" s="574" t="s">
        <v>190</v>
      </c>
    </row>
    <row r="30" spans="1:32">
      <c r="A30" s="528"/>
      <c r="B30" s="531"/>
      <c r="C30" s="579"/>
      <c r="D30" s="579"/>
      <c r="E30" s="579"/>
      <c r="F30" s="579"/>
      <c r="G30" s="579"/>
      <c r="H30" s="579"/>
      <c r="I30" s="579"/>
      <c r="J30" s="579"/>
      <c r="K30" s="579"/>
      <c r="L30" s="532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/>
      <c r="AE30" s="575"/>
      <c r="AF30" s="575"/>
    </row>
    <row r="31" spans="1:32" ht="18.75" customHeight="1">
      <c r="A31" s="94">
        <v>1</v>
      </c>
      <c r="B31" s="583">
        <v>2</v>
      </c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85">
        <v>3</v>
      </c>
      <c r="N31" s="85">
        <v>4</v>
      </c>
      <c r="O31" s="85">
        <v>5</v>
      </c>
      <c r="P31" s="85">
        <v>6</v>
      </c>
      <c r="Q31" s="85">
        <v>7</v>
      </c>
      <c r="R31" s="85">
        <v>8</v>
      </c>
      <c r="S31" s="85">
        <v>9</v>
      </c>
      <c r="T31" s="85">
        <v>10</v>
      </c>
      <c r="U31" s="85">
        <v>11</v>
      </c>
      <c r="V31" s="85">
        <v>12</v>
      </c>
      <c r="W31" s="85">
        <v>13</v>
      </c>
      <c r="X31" s="85">
        <v>14</v>
      </c>
      <c r="Y31" s="85">
        <v>15</v>
      </c>
      <c r="Z31" s="85">
        <v>16</v>
      </c>
      <c r="AA31" s="85">
        <v>17</v>
      </c>
      <c r="AB31" s="85">
        <v>18</v>
      </c>
      <c r="AC31" s="85">
        <v>19</v>
      </c>
      <c r="AD31" s="85">
        <v>20</v>
      </c>
      <c r="AE31" s="85">
        <v>21</v>
      </c>
      <c r="AF31" s="85">
        <v>22</v>
      </c>
    </row>
    <row r="32" spans="1:32" ht="18.75" customHeight="1">
      <c r="A32" s="203" t="s">
        <v>532</v>
      </c>
      <c r="B32" s="584" t="s">
        <v>456</v>
      </c>
      <c r="C32" s="585"/>
      <c r="D32" s="585"/>
      <c r="E32" s="585"/>
      <c r="F32" s="585"/>
      <c r="G32" s="585"/>
      <c r="H32" s="585"/>
      <c r="I32" s="585"/>
      <c r="J32" s="585"/>
      <c r="K32" s="585"/>
      <c r="L32" s="586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5">
        <f>SUM(Y33:Y44)</f>
        <v>18521</v>
      </c>
      <c r="Z32" s="205">
        <f>SUM(Z33:Z44)</f>
        <v>932</v>
      </c>
      <c r="AA32" s="205">
        <f t="shared" ref="AA32:AA71" si="0">Z32-Y32</f>
        <v>-17589</v>
      </c>
      <c r="AB32" s="206">
        <f t="shared" ref="AB32:AB44" si="1">Z32/Y32</f>
        <v>5.0321256951568492E-2</v>
      </c>
      <c r="AC32" s="259">
        <f>Y32</f>
        <v>18521</v>
      </c>
      <c r="AD32" s="205">
        <f t="shared" ref="AD32:AD68" si="2">Z32</f>
        <v>932</v>
      </c>
      <c r="AE32" s="205">
        <f t="shared" ref="AE32:AE68" si="3">AA32</f>
        <v>-17589</v>
      </c>
      <c r="AF32" s="206">
        <f t="shared" ref="AF32:AF66" si="4">AD32/AC32</f>
        <v>5.0321256951568492E-2</v>
      </c>
    </row>
    <row r="33" spans="1:32" ht="75.75" customHeight="1">
      <c r="A33" s="85"/>
      <c r="B33" s="516" t="s">
        <v>616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8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332">
        <v>442</v>
      </c>
      <c r="Z33" s="332">
        <v>28</v>
      </c>
      <c r="AA33" s="83">
        <f>Z33-Y33</f>
        <v>-414</v>
      </c>
      <c r="AB33" s="207">
        <f>Z33/Y33</f>
        <v>6.3348416289592757E-2</v>
      </c>
      <c r="AC33" s="243">
        <f>Y33</f>
        <v>442</v>
      </c>
      <c r="AD33" s="83">
        <f>Z33</f>
        <v>28</v>
      </c>
      <c r="AE33" s="83">
        <f>AA33</f>
        <v>-414</v>
      </c>
      <c r="AF33" s="207">
        <f t="shared" si="4"/>
        <v>6.3348416289592757E-2</v>
      </c>
    </row>
    <row r="34" spans="1:32" ht="78.75" customHeight="1">
      <c r="A34" s="85"/>
      <c r="B34" s="516" t="s">
        <v>585</v>
      </c>
      <c r="C34" s="517"/>
      <c r="D34" s="517"/>
      <c r="E34" s="517"/>
      <c r="F34" s="517"/>
      <c r="G34" s="517"/>
      <c r="H34" s="517"/>
      <c r="I34" s="517"/>
      <c r="J34" s="517"/>
      <c r="K34" s="517"/>
      <c r="L34" s="518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332">
        <v>361</v>
      </c>
      <c r="Z34" s="332">
        <v>361</v>
      </c>
      <c r="AA34" s="83">
        <f>Z34-Y34</f>
        <v>0</v>
      </c>
      <c r="AB34" s="207">
        <f t="shared" si="1"/>
        <v>1</v>
      </c>
      <c r="AC34" s="243">
        <f t="shared" ref="AC34:AE34" si="5">Y34</f>
        <v>361</v>
      </c>
      <c r="AD34" s="83">
        <f t="shared" si="5"/>
        <v>361</v>
      </c>
      <c r="AE34" s="83">
        <f t="shared" si="5"/>
        <v>0</v>
      </c>
      <c r="AF34" s="207">
        <f t="shared" si="4"/>
        <v>1</v>
      </c>
    </row>
    <row r="35" spans="1:32" s="325" customFormat="1" ht="81.75" customHeight="1">
      <c r="A35" s="324"/>
      <c r="B35" s="516" t="s">
        <v>678</v>
      </c>
      <c r="C35" s="517"/>
      <c r="D35" s="517"/>
      <c r="E35" s="517"/>
      <c r="F35" s="517"/>
      <c r="G35" s="517"/>
      <c r="H35" s="517"/>
      <c r="I35" s="517"/>
      <c r="J35" s="517"/>
      <c r="K35" s="517"/>
      <c r="L35" s="518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32">
        <v>11380</v>
      </c>
      <c r="Z35" s="332"/>
      <c r="AA35" s="323">
        <f t="shared" ref="AA35:AA41" si="6">Z35-Y35</f>
        <v>-11380</v>
      </c>
      <c r="AB35" s="207">
        <f t="shared" ref="AB35:AB41" si="7">Z35/Y35</f>
        <v>0</v>
      </c>
      <c r="AC35" s="326">
        <f t="shared" ref="AC35:AC41" si="8">Y35</f>
        <v>11380</v>
      </c>
      <c r="AD35" s="323">
        <f t="shared" ref="AD35:AD41" si="9">Z35</f>
        <v>0</v>
      </c>
      <c r="AE35" s="323">
        <f t="shared" ref="AE35:AE41" si="10">AA35</f>
        <v>-11380</v>
      </c>
      <c r="AF35" s="207">
        <f t="shared" ref="AF35:AF41" si="11">AD35/AC35</f>
        <v>0</v>
      </c>
    </row>
    <row r="36" spans="1:32" s="325" customFormat="1" ht="78.75" customHeight="1">
      <c r="A36" s="324"/>
      <c r="B36" s="516" t="s">
        <v>615</v>
      </c>
      <c r="C36" s="517"/>
      <c r="D36" s="517"/>
      <c r="E36" s="517"/>
      <c r="F36" s="517"/>
      <c r="G36" s="517"/>
      <c r="H36" s="517"/>
      <c r="I36" s="517"/>
      <c r="J36" s="517"/>
      <c r="K36" s="517"/>
      <c r="L36" s="518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32">
        <v>325</v>
      </c>
      <c r="Z36" s="332">
        <v>325</v>
      </c>
      <c r="AA36" s="323">
        <f t="shared" si="6"/>
        <v>0</v>
      </c>
      <c r="AB36" s="207">
        <f t="shared" si="7"/>
        <v>1</v>
      </c>
      <c r="AC36" s="326">
        <f t="shared" si="8"/>
        <v>325</v>
      </c>
      <c r="AD36" s="323">
        <f t="shared" si="9"/>
        <v>325</v>
      </c>
      <c r="AE36" s="323">
        <f t="shared" si="10"/>
        <v>0</v>
      </c>
      <c r="AF36" s="207">
        <f t="shared" si="11"/>
        <v>1</v>
      </c>
    </row>
    <row r="37" spans="1:32" s="325" customFormat="1" ht="47.25" customHeight="1">
      <c r="A37" s="324"/>
      <c r="B37" s="516" t="s">
        <v>618</v>
      </c>
      <c r="C37" s="517"/>
      <c r="D37" s="517"/>
      <c r="E37" s="517"/>
      <c r="F37" s="517"/>
      <c r="G37" s="517"/>
      <c r="H37" s="517"/>
      <c r="I37" s="517"/>
      <c r="J37" s="517"/>
      <c r="K37" s="517"/>
      <c r="L37" s="518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32">
        <v>197</v>
      </c>
      <c r="Z37" s="332">
        <v>189</v>
      </c>
      <c r="AA37" s="323">
        <f t="shared" si="6"/>
        <v>-8</v>
      </c>
      <c r="AB37" s="207">
        <f t="shared" si="7"/>
        <v>0.95939086294416243</v>
      </c>
      <c r="AC37" s="326">
        <f t="shared" si="8"/>
        <v>197</v>
      </c>
      <c r="AD37" s="323">
        <f t="shared" si="9"/>
        <v>189</v>
      </c>
      <c r="AE37" s="323">
        <f t="shared" si="10"/>
        <v>-8</v>
      </c>
      <c r="AF37" s="207">
        <f t="shared" si="11"/>
        <v>0.95939086294416243</v>
      </c>
    </row>
    <row r="38" spans="1:32" s="325" customFormat="1" ht="47.25" customHeight="1">
      <c r="A38" s="324"/>
      <c r="B38" s="516" t="s">
        <v>679</v>
      </c>
      <c r="C38" s="517"/>
      <c r="D38" s="517"/>
      <c r="E38" s="517"/>
      <c r="F38" s="517"/>
      <c r="G38" s="517"/>
      <c r="H38" s="517"/>
      <c r="I38" s="517"/>
      <c r="J38" s="517"/>
      <c r="K38" s="517"/>
      <c r="L38" s="518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32">
        <v>5000</v>
      </c>
      <c r="Z38" s="332"/>
      <c r="AA38" s="323">
        <f t="shared" si="6"/>
        <v>-5000</v>
      </c>
      <c r="AB38" s="207">
        <f t="shared" si="7"/>
        <v>0</v>
      </c>
      <c r="AC38" s="326">
        <f t="shared" si="8"/>
        <v>5000</v>
      </c>
      <c r="AD38" s="323">
        <f t="shared" si="9"/>
        <v>0</v>
      </c>
      <c r="AE38" s="323">
        <f t="shared" si="10"/>
        <v>-5000</v>
      </c>
      <c r="AF38" s="207">
        <f t="shared" si="11"/>
        <v>0</v>
      </c>
    </row>
    <row r="39" spans="1:32" s="325" customFormat="1">
      <c r="A39" s="324"/>
      <c r="B39" s="516" t="s">
        <v>680</v>
      </c>
      <c r="C39" s="517"/>
      <c r="D39" s="517"/>
      <c r="E39" s="517"/>
      <c r="F39" s="517"/>
      <c r="G39" s="517"/>
      <c r="H39" s="517"/>
      <c r="I39" s="517"/>
      <c r="J39" s="517"/>
      <c r="K39" s="517"/>
      <c r="L39" s="518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32">
        <v>30</v>
      </c>
      <c r="Z39" s="332"/>
      <c r="AA39" s="323">
        <f t="shared" si="6"/>
        <v>-30</v>
      </c>
      <c r="AB39" s="207">
        <f t="shared" si="7"/>
        <v>0</v>
      </c>
      <c r="AC39" s="326">
        <f t="shared" si="8"/>
        <v>30</v>
      </c>
      <c r="AD39" s="323">
        <f t="shared" si="9"/>
        <v>0</v>
      </c>
      <c r="AE39" s="323">
        <f t="shared" si="10"/>
        <v>-30</v>
      </c>
      <c r="AF39" s="207">
        <f t="shared" si="11"/>
        <v>0</v>
      </c>
    </row>
    <row r="40" spans="1:32" s="325" customFormat="1" ht="47.25" customHeight="1">
      <c r="A40" s="324"/>
      <c r="B40" s="516" t="s">
        <v>586</v>
      </c>
      <c r="C40" s="517"/>
      <c r="D40" s="517"/>
      <c r="E40" s="517"/>
      <c r="F40" s="517"/>
      <c r="G40" s="517"/>
      <c r="H40" s="517"/>
      <c r="I40" s="517"/>
      <c r="J40" s="517"/>
      <c r="K40" s="517"/>
      <c r="L40" s="518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32">
        <v>296</v>
      </c>
      <c r="Z40" s="332"/>
      <c r="AA40" s="323">
        <f t="shared" si="6"/>
        <v>-296</v>
      </c>
      <c r="AB40" s="207">
        <f t="shared" si="7"/>
        <v>0</v>
      </c>
      <c r="AC40" s="326">
        <f t="shared" si="8"/>
        <v>296</v>
      </c>
      <c r="AD40" s="323">
        <f t="shared" si="9"/>
        <v>0</v>
      </c>
      <c r="AE40" s="323">
        <f t="shared" si="10"/>
        <v>-296</v>
      </c>
      <c r="AF40" s="207">
        <f t="shared" si="11"/>
        <v>0</v>
      </c>
    </row>
    <row r="41" spans="1:32" s="297" customFormat="1" ht="47.25" customHeight="1">
      <c r="A41" s="294"/>
      <c r="B41" s="516" t="s">
        <v>681</v>
      </c>
      <c r="C41" s="517"/>
      <c r="D41" s="517"/>
      <c r="E41" s="517"/>
      <c r="F41" s="517"/>
      <c r="G41" s="517"/>
      <c r="H41" s="517"/>
      <c r="I41" s="517"/>
      <c r="J41" s="517"/>
      <c r="K41" s="517"/>
      <c r="L41" s="518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332">
        <v>200</v>
      </c>
      <c r="Z41" s="332"/>
      <c r="AA41" s="323">
        <f t="shared" si="6"/>
        <v>-200</v>
      </c>
      <c r="AB41" s="207">
        <f t="shared" si="7"/>
        <v>0</v>
      </c>
      <c r="AC41" s="326">
        <f t="shared" si="8"/>
        <v>200</v>
      </c>
      <c r="AD41" s="323">
        <f t="shared" si="9"/>
        <v>0</v>
      </c>
      <c r="AE41" s="323">
        <f t="shared" si="10"/>
        <v>-200</v>
      </c>
      <c r="AF41" s="207">
        <f t="shared" si="11"/>
        <v>0</v>
      </c>
    </row>
    <row r="42" spans="1:32" ht="41.25" customHeight="1">
      <c r="A42" s="85"/>
      <c r="B42" s="516" t="s">
        <v>671</v>
      </c>
      <c r="C42" s="517"/>
      <c r="D42" s="517"/>
      <c r="E42" s="517"/>
      <c r="F42" s="517"/>
      <c r="G42" s="517"/>
      <c r="H42" s="517"/>
      <c r="I42" s="517"/>
      <c r="J42" s="517"/>
      <c r="K42" s="517"/>
      <c r="L42" s="518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332">
        <v>50</v>
      </c>
      <c r="Z42" s="332"/>
      <c r="AA42" s="83">
        <f>Z42-Y42</f>
        <v>-50</v>
      </c>
      <c r="AB42" s="207">
        <f t="shared" si="1"/>
        <v>0</v>
      </c>
      <c r="AC42" s="243">
        <f t="shared" ref="AC42:AE44" si="12">Y42</f>
        <v>50</v>
      </c>
      <c r="AD42" s="83">
        <f t="shared" si="12"/>
        <v>0</v>
      </c>
      <c r="AE42" s="83">
        <f t="shared" si="12"/>
        <v>-50</v>
      </c>
      <c r="AF42" s="207">
        <f t="shared" si="4"/>
        <v>0</v>
      </c>
    </row>
    <row r="43" spans="1:32" ht="45" customHeight="1">
      <c r="A43" s="324"/>
      <c r="B43" s="516" t="s">
        <v>669</v>
      </c>
      <c r="C43" s="517"/>
      <c r="D43" s="517"/>
      <c r="E43" s="517"/>
      <c r="F43" s="517"/>
      <c r="G43" s="517"/>
      <c r="H43" s="517"/>
      <c r="I43" s="517"/>
      <c r="J43" s="517"/>
      <c r="K43" s="517"/>
      <c r="L43" s="518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32">
        <v>150</v>
      </c>
      <c r="Z43" s="332"/>
      <c r="AA43" s="323">
        <f>Z43-Y43</f>
        <v>-150</v>
      </c>
      <c r="AB43" s="207">
        <f t="shared" ref="AB43" si="13">Z43/Y43</f>
        <v>0</v>
      </c>
      <c r="AC43" s="326">
        <f t="shared" ref="AC43" si="14">Y43</f>
        <v>150</v>
      </c>
      <c r="AD43" s="323">
        <f t="shared" ref="AD43" si="15">Z43</f>
        <v>0</v>
      </c>
      <c r="AE43" s="323">
        <f t="shared" ref="AE43" si="16">AA43</f>
        <v>-150</v>
      </c>
      <c r="AF43" s="207">
        <f t="shared" ref="AF43" si="17">AD43/AC43</f>
        <v>0</v>
      </c>
    </row>
    <row r="44" spans="1:32">
      <c r="A44" s="85"/>
      <c r="B44" s="516" t="s">
        <v>667</v>
      </c>
      <c r="C44" s="517"/>
      <c r="D44" s="517"/>
      <c r="E44" s="517"/>
      <c r="F44" s="517"/>
      <c r="G44" s="517"/>
      <c r="H44" s="517"/>
      <c r="I44" s="517"/>
      <c r="J44" s="517"/>
      <c r="K44" s="517"/>
      <c r="L44" s="518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332">
        <v>90</v>
      </c>
      <c r="Z44" s="332">
        <v>29</v>
      </c>
      <c r="AA44" s="83">
        <f>Z44-Y44</f>
        <v>-61</v>
      </c>
      <c r="AB44" s="207">
        <f t="shared" si="1"/>
        <v>0.32222222222222224</v>
      </c>
      <c r="AC44" s="243">
        <f t="shared" si="12"/>
        <v>90</v>
      </c>
      <c r="AD44" s="83">
        <f t="shared" si="12"/>
        <v>29</v>
      </c>
      <c r="AE44" s="83">
        <f t="shared" si="12"/>
        <v>-61</v>
      </c>
      <c r="AF44" s="207">
        <f t="shared" si="4"/>
        <v>0.32222222222222224</v>
      </c>
    </row>
    <row r="45" spans="1:32" ht="84.75" customHeight="1">
      <c r="A45" s="203" t="s">
        <v>533</v>
      </c>
      <c r="B45" s="521" t="s">
        <v>534</v>
      </c>
      <c r="C45" s="522"/>
      <c r="D45" s="522"/>
      <c r="E45" s="522"/>
      <c r="F45" s="522"/>
      <c r="G45" s="522"/>
      <c r="H45" s="522"/>
      <c r="I45" s="522"/>
      <c r="J45" s="522"/>
      <c r="K45" s="522"/>
      <c r="L45" s="523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5">
        <f>SUM(Y46:Y56)</f>
        <v>26918</v>
      </c>
      <c r="Z45" s="205">
        <f>SUM(Z46:Z56)</f>
        <v>19570</v>
      </c>
      <c r="AA45" s="205">
        <f t="shared" si="0"/>
        <v>-7348</v>
      </c>
      <c r="AB45" s="206">
        <f t="shared" ref="AB45:AB62" si="18">Z45/Y45</f>
        <v>0.72702281001560298</v>
      </c>
      <c r="AC45" s="259">
        <f t="shared" ref="AC45:AC68" si="19">Y45</f>
        <v>26918</v>
      </c>
      <c r="AD45" s="205">
        <f t="shared" si="2"/>
        <v>19570</v>
      </c>
      <c r="AE45" s="205">
        <f t="shared" si="3"/>
        <v>-7348</v>
      </c>
      <c r="AF45" s="206">
        <f t="shared" si="4"/>
        <v>0.72702281001560298</v>
      </c>
    </row>
    <row r="46" spans="1:32" ht="55.5" customHeight="1">
      <c r="A46" s="100"/>
      <c r="B46" s="516" t="s">
        <v>682</v>
      </c>
      <c r="C46" s="517"/>
      <c r="D46" s="517"/>
      <c r="E46" s="517"/>
      <c r="F46" s="517"/>
      <c r="G46" s="517"/>
      <c r="H46" s="517"/>
      <c r="I46" s="517"/>
      <c r="J46" s="517"/>
      <c r="K46" s="517"/>
      <c r="L46" s="518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332">
        <v>5000</v>
      </c>
      <c r="Z46" s="332">
        <v>4852</v>
      </c>
      <c r="AA46" s="83">
        <f t="shared" si="0"/>
        <v>-148</v>
      </c>
      <c r="AB46" s="207">
        <f t="shared" si="18"/>
        <v>0.97040000000000004</v>
      </c>
      <c r="AC46" s="243">
        <f t="shared" si="19"/>
        <v>5000</v>
      </c>
      <c r="AD46" s="83">
        <f t="shared" si="2"/>
        <v>4852</v>
      </c>
      <c r="AE46" s="83">
        <f t="shared" si="3"/>
        <v>-148</v>
      </c>
      <c r="AF46" s="207">
        <f t="shared" si="4"/>
        <v>0.97040000000000004</v>
      </c>
    </row>
    <row r="47" spans="1:32" ht="87" customHeight="1">
      <c r="A47" s="100"/>
      <c r="B47" s="516" t="s">
        <v>587</v>
      </c>
      <c r="C47" s="517"/>
      <c r="D47" s="517"/>
      <c r="E47" s="517"/>
      <c r="F47" s="517"/>
      <c r="G47" s="517"/>
      <c r="H47" s="517"/>
      <c r="I47" s="517"/>
      <c r="J47" s="517"/>
      <c r="K47" s="517"/>
      <c r="L47" s="518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332">
        <v>189</v>
      </c>
      <c r="Z47" s="332">
        <v>186</v>
      </c>
      <c r="AA47" s="83">
        <f t="shared" si="0"/>
        <v>-3</v>
      </c>
      <c r="AB47" s="207">
        <f>Z47/Y47</f>
        <v>0.98412698412698407</v>
      </c>
      <c r="AC47" s="243">
        <f t="shared" ref="AC47:AE47" si="20">Y47</f>
        <v>189</v>
      </c>
      <c r="AD47" s="83">
        <f t="shared" si="20"/>
        <v>186</v>
      </c>
      <c r="AE47" s="83">
        <f t="shared" si="20"/>
        <v>-3</v>
      </c>
      <c r="AF47" s="207">
        <f t="shared" si="4"/>
        <v>0.98412698412698407</v>
      </c>
    </row>
    <row r="48" spans="1:32" s="327" customFormat="1" ht="90.75" customHeight="1">
      <c r="A48" s="100"/>
      <c r="B48" s="516" t="s">
        <v>662</v>
      </c>
      <c r="C48" s="517"/>
      <c r="D48" s="517"/>
      <c r="E48" s="517"/>
      <c r="F48" s="517"/>
      <c r="G48" s="517"/>
      <c r="H48" s="517"/>
      <c r="I48" s="517"/>
      <c r="J48" s="517"/>
      <c r="K48" s="517"/>
      <c r="L48" s="51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32">
        <v>5000</v>
      </c>
      <c r="Z48" s="332"/>
      <c r="AA48" s="330">
        <f t="shared" ref="AA48:AA52" si="21">Z48-Y48</f>
        <v>-5000</v>
      </c>
      <c r="AB48" s="207">
        <f t="shared" ref="AB48:AB52" si="22">Z48/Y48</f>
        <v>0</v>
      </c>
      <c r="AC48" s="331">
        <f t="shared" ref="AC48:AC52" si="23">Y48</f>
        <v>5000</v>
      </c>
      <c r="AD48" s="330">
        <f t="shared" ref="AD48:AD52" si="24">Z48</f>
        <v>0</v>
      </c>
      <c r="AE48" s="330">
        <f t="shared" ref="AE48:AE52" si="25">AA48</f>
        <v>-5000</v>
      </c>
      <c r="AF48" s="207">
        <f t="shared" ref="AF48:AF52" si="26">AD48/AC48</f>
        <v>0</v>
      </c>
    </row>
    <row r="49" spans="1:32" s="327" customFormat="1" ht="60.75" customHeight="1">
      <c r="A49" s="100"/>
      <c r="B49" s="516" t="s">
        <v>683</v>
      </c>
      <c r="C49" s="517"/>
      <c r="D49" s="517"/>
      <c r="E49" s="517"/>
      <c r="F49" s="517"/>
      <c r="G49" s="517"/>
      <c r="H49" s="517"/>
      <c r="I49" s="517"/>
      <c r="J49" s="517"/>
      <c r="K49" s="517"/>
      <c r="L49" s="51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32">
        <v>4808</v>
      </c>
      <c r="Z49" s="332">
        <v>4783</v>
      </c>
      <c r="AA49" s="330">
        <f t="shared" si="21"/>
        <v>-25</v>
      </c>
      <c r="AB49" s="207">
        <f t="shared" si="22"/>
        <v>0.99480033277870217</v>
      </c>
      <c r="AC49" s="331">
        <f t="shared" si="23"/>
        <v>4808</v>
      </c>
      <c r="AD49" s="330">
        <f t="shared" si="24"/>
        <v>4783</v>
      </c>
      <c r="AE49" s="330">
        <f t="shared" si="25"/>
        <v>-25</v>
      </c>
      <c r="AF49" s="207">
        <f t="shared" si="26"/>
        <v>0.99480033277870217</v>
      </c>
    </row>
    <row r="50" spans="1:32" s="327" customFormat="1" ht="40.5" customHeight="1">
      <c r="A50" s="100"/>
      <c r="B50" s="516" t="s">
        <v>684</v>
      </c>
      <c r="C50" s="517"/>
      <c r="D50" s="517"/>
      <c r="E50" s="517"/>
      <c r="F50" s="517"/>
      <c r="G50" s="517"/>
      <c r="H50" s="517"/>
      <c r="I50" s="517"/>
      <c r="J50" s="517"/>
      <c r="K50" s="517"/>
      <c r="L50" s="51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32">
        <v>200</v>
      </c>
      <c r="Z50" s="332"/>
      <c r="AA50" s="330">
        <f t="shared" si="21"/>
        <v>-200</v>
      </c>
      <c r="AB50" s="207">
        <f t="shared" si="22"/>
        <v>0</v>
      </c>
      <c r="AC50" s="331">
        <f t="shared" si="23"/>
        <v>200</v>
      </c>
      <c r="AD50" s="330">
        <f t="shared" si="24"/>
        <v>0</v>
      </c>
      <c r="AE50" s="330">
        <f t="shared" si="25"/>
        <v>-200</v>
      </c>
      <c r="AF50" s="207">
        <f t="shared" si="26"/>
        <v>0</v>
      </c>
    </row>
    <row r="51" spans="1:32" s="327" customFormat="1" ht="18.75" customHeight="1">
      <c r="A51" s="100"/>
      <c r="B51" s="516" t="s">
        <v>663</v>
      </c>
      <c r="C51" s="517"/>
      <c r="D51" s="517"/>
      <c r="E51" s="517"/>
      <c r="F51" s="517"/>
      <c r="G51" s="517"/>
      <c r="H51" s="517"/>
      <c r="I51" s="517"/>
      <c r="J51" s="517"/>
      <c r="K51" s="517"/>
      <c r="L51" s="51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32">
        <v>1863</v>
      </c>
      <c r="Z51" s="332">
        <v>1647</v>
      </c>
      <c r="AA51" s="330">
        <f t="shared" si="21"/>
        <v>-216</v>
      </c>
      <c r="AB51" s="207">
        <f t="shared" si="22"/>
        <v>0.88405797101449279</v>
      </c>
      <c r="AC51" s="331">
        <f t="shared" si="23"/>
        <v>1863</v>
      </c>
      <c r="AD51" s="330">
        <f t="shared" si="24"/>
        <v>1647</v>
      </c>
      <c r="AE51" s="330">
        <f t="shared" si="25"/>
        <v>-216</v>
      </c>
      <c r="AF51" s="207">
        <f t="shared" si="26"/>
        <v>0.88405797101449279</v>
      </c>
    </row>
    <row r="52" spans="1:32" s="327" customFormat="1" ht="18.75" customHeight="1">
      <c r="A52" s="100"/>
      <c r="B52" s="516" t="s">
        <v>588</v>
      </c>
      <c r="C52" s="517"/>
      <c r="D52" s="517"/>
      <c r="E52" s="517"/>
      <c r="F52" s="517"/>
      <c r="G52" s="517"/>
      <c r="H52" s="517"/>
      <c r="I52" s="517"/>
      <c r="J52" s="517"/>
      <c r="K52" s="517"/>
      <c r="L52" s="51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32">
        <v>2885</v>
      </c>
      <c r="Z52" s="332">
        <v>2809</v>
      </c>
      <c r="AA52" s="330">
        <f t="shared" si="21"/>
        <v>-76</v>
      </c>
      <c r="AB52" s="207">
        <f t="shared" si="22"/>
        <v>0.97365684575389944</v>
      </c>
      <c r="AC52" s="331">
        <f t="shared" si="23"/>
        <v>2885</v>
      </c>
      <c r="AD52" s="330">
        <f t="shared" si="24"/>
        <v>2809</v>
      </c>
      <c r="AE52" s="330">
        <f t="shared" si="25"/>
        <v>-76</v>
      </c>
      <c r="AF52" s="207">
        <f t="shared" si="26"/>
        <v>0.97365684575389944</v>
      </c>
    </row>
    <row r="53" spans="1:32" ht="18.75" customHeight="1">
      <c r="A53" s="100"/>
      <c r="B53" s="516" t="s">
        <v>685</v>
      </c>
      <c r="C53" s="517"/>
      <c r="D53" s="517"/>
      <c r="E53" s="517"/>
      <c r="F53" s="517"/>
      <c r="G53" s="517"/>
      <c r="H53" s="517"/>
      <c r="I53" s="517"/>
      <c r="J53" s="517"/>
      <c r="K53" s="517"/>
      <c r="L53" s="518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332">
        <v>120</v>
      </c>
      <c r="Z53" s="332">
        <v>97</v>
      </c>
      <c r="AA53" s="83">
        <f t="shared" si="0"/>
        <v>-23</v>
      </c>
      <c r="AB53" s="207">
        <f t="shared" si="18"/>
        <v>0.80833333333333335</v>
      </c>
      <c r="AC53" s="243">
        <f t="shared" si="19"/>
        <v>120</v>
      </c>
      <c r="AD53" s="83">
        <f t="shared" si="2"/>
        <v>97</v>
      </c>
      <c r="AE53" s="83">
        <f t="shared" si="3"/>
        <v>-23</v>
      </c>
      <c r="AF53" s="207">
        <f t="shared" si="4"/>
        <v>0.80833333333333335</v>
      </c>
    </row>
    <row r="54" spans="1:32">
      <c r="A54" s="100"/>
      <c r="B54" s="516" t="s">
        <v>589</v>
      </c>
      <c r="C54" s="517"/>
      <c r="D54" s="517"/>
      <c r="E54" s="517"/>
      <c r="F54" s="517"/>
      <c r="G54" s="517"/>
      <c r="H54" s="517"/>
      <c r="I54" s="517"/>
      <c r="J54" s="517"/>
      <c r="K54" s="517"/>
      <c r="L54" s="518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332">
        <v>808</v>
      </c>
      <c r="Z54" s="332">
        <v>270</v>
      </c>
      <c r="AA54" s="83">
        <f>Z54-Y54</f>
        <v>-538</v>
      </c>
      <c r="AB54" s="207">
        <f>Z54/Y54</f>
        <v>0.33415841584158418</v>
      </c>
      <c r="AC54" s="243">
        <f t="shared" ref="AC54:AE56" si="27">Y54</f>
        <v>808</v>
      </c>
      <c r="AD54" s="83">
        <f t="shared" si="27"/>
        <v>270</v>
      </c>
      <c r="AE54" s="83">
        <f t="shared" si="27"/>
        <v>-538</v>
      </c>
      <c r="AF54" s="207">
        <f t="shared" si="4"/>
        <v>0.33415841584158418</v>
      </c>
    </row>
    <row r="55" spans="1:32" ht="18.75" customHeight="1">
      <c r="A55" s="100"/>
      <c r="B55" s="516" t="s">
        <v>590</v>
      </c>
      <c r="C55" s="517"/>
      <c r="D55" s="517"/>
      <c r="E55" s="517"/>
      <c r="F55" s="517"/>
      <c r="G55" s="517"/>
      <c r="H55" s="517"/>
      <c r="I55" s="517"/>
      <c r="J55" s="517"/>
      <c r="K55" s="517"/>
      <c r="L55" s="51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32">
        <v>4020</v>
      </c>
      <c r="Z55" s="332">
        <v>3777</v>
      </c>
      <c r="AA55" s="330">
        <f>Z55-Y55</f>
        <v>-243</v>
      </c>
      <c r="AB55" s="207">
        <f>Z55/Y55</f>
        <v>0.93955223880597016</v>
      </c>
      <c r="AC55" s="331">
        <f t="shared" ref="AC55" si="28">Y55</f>
        <v>4020</v>
      </c>
      <c r="AD55" s="330">
        <f t="shared" ref="AD55" si="29">Z55</f>
        <v>3777</v>
      </c>
      <c r="AE55" s="330">
        <f t="shared" ref="AE55" si="30">AA55</f>
        <v>-243</v>
      </c>
      <c r="AF55" s="207">
        <f t="shared" ref="AF55" si="31">AD55/AC55</f>
        <v>0.93955223880597016</v>
      </c>
    </row>
    <row r="56" spans="1:32" ht="45" customHeight="1">
      <c r="A56" s="100"/>
      <c r="B56" s="516" t="s">
        <v>535</v>
      </c>
      <c r="C56" s="517"/>
      <c r="D56" s="517"/>
      <c r="E56" s="517"/>
      <c r="F56" s="517"/>
      <c r="G56" s="517"/>
      <c r="H56" s="517"/>
      <c r="I56" s="517"/>
      <c r="J56" s="517"/>
      <c r="K56" s="517"/>
      <c r="L56" s="518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332">
        <v>2025</v>
      </c>
      <c r="Z56" s="332">
        <v>1149</v>
      </c>
      <c r="AA56" s="83">
        <f>Z56-Y56</f>
        <v>-876</v>
      </c>
      <c r="AB56" s="207">
        <f>Z56/Y56</f>
        <v>0.56740740740740736</v>
      </c>
      <c r="AC56" s="243">
        <f t="shared" si="27"/>
        <v>2025</v>
      </c>
      <c r="AD56" s="83">
        <f t="shared" si="27"/>
        <v>1149</v>
      </c>
      <c r="AE56" s="83">
        <f t="shared" si="27"/>
        <v>-876</v>
      </c>
      <c r="AF56" s="207">
        <f t="shared" si="4"/>
        <v>0.56740740740740736</v>
      </c>
    </row>
    <row r="57" spans="1:32" ht="18.75" customHeight="1">
      <c r="A57" s="203" t="s">
        <v>536</v>
      </c>
      <c r="B57" s="521" t="s">
        <v>537</v>
      </c>
      <c r="C57" s="522"/>
      <c r="D57" s="522"/>
      <c r="E57" s="522"/>
      <c r="F57" s="522"/>
      <c r="G57" s="522"/>
      <c r="H57" s="522"/>
      <c r="I57" s="522"/>
      <c r="J57" s="522"/>
      <c r="K57" s="522"/>
      <c r="L57" s="523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5">
        <f>SUM(Y58:Y62)</f>
        <v>1597</v>
      </c>
      <c r="Z57" s="205">
        <f>SUM(Z58:Z62)</f>
        <v>1077</v>
      </c>
      <c r="AA57" s="205">
        <f t="shared" si="0"/>
        <v>-520</v>
      </c>
      <c r="AB57" s="206">
        <f t="shared" si="18"/>
        <v>0.6743894802755166</v>
      </c>
      <c r="AC57" s="259">
        <f t="shared" si="19"/>
        <v>1597</v>
      </c>
      <c r="AD57" s="205">
        <f t="shared" si="2"/>
        <v>1077</v>
      </c>
      <c r="AE57" s="205">
        <f t="shared" si="3"/>
        <v>-520</v>
      </c>
      <c r="AF57" s="206">
        <f t="shared" si="4"/>
        <v>0.6743894802755166</v>
      </c>
    </row>
    <row r="58" spans="1:32" ht="18.75" customHeight="1">
      <c r="A58" s="100"/>
      <c r="B58" s="516" t="s">
        <v>619</v>
      </c>
      <c r="C58" s="517"/>
      <c r="D58" s="517"/>
      <c r="E58" s="517"/>
      <c r="F58" s="517"/>
      <c r="G58" s="517"/>
      <c r="H58" s="517"/>
      <c r="I58" s="517"/>
      <c r="J58" s="517"/>
      <c r="K58" s="517"/>
      <c r="L58" s="51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32">
        <v>263</v>
      </c>
      <c r="Z58" s="332"/>
      <c r="AA58" s="83">
        <f t="shared" si="0"/>
        <v>-263</v>
      </c>
      <c r="AB58" s="207">
        <f t="shared" si="18"/>
        <v>0</v>
      </c>
      <c r="AC58" s="243">
        <f t="shared" si="19"/>
        <v>263</v>
      </c>
      <c r="AD58" s="83">
        <f t="shared" si="2"/>
        <v>0</v>
      </c>
      <c r="AE58" s="83">
        <f t="shared" si="3"/>
        <v>-263</v>
      </c>
      <c r="AF58" s="207">
        <f t="shared" si="4"/>
        <v>0</v>
      </c>
    </row>
    <row r="59" spans="1:32">
      <c r="A59" s="100"/>
      <c r="B59" s="516" t="s">
        <v>590</v>
      </c>
      <c r="C59" s="517"/>
      <c r="D59" s="517"/>
      <c r="E59" s="517"/>
      <c r="F59" s="517"/>
      <c r="G59" s="517"/>
      <c r="H59" s="517"/>
      <c r="I59" s="517"/>
      <c r="J59" s="517"/>
      <c r="K59" s="517"/>
      <c r="L59" s="51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32">
        <v>90</v>
      </c>
      <c r="Z59" s="332">
        <v>193</v>
      </c>
      <c r="AA59" s="83">
        <f>Z59-Y59</f>
        <v>103</v>
      </c>
      <c r="AB59" s="207">
        <f>Z59/Y59</f>
        <v>2.1444444444444444</v>
      </c>
      <c r="AC59" s="243">
        <f t="shared" ref="AC59:AE60" si="32">Y59</f>
        <v>90</v>
      </c>
      <c r="AD59" s="83">
        <f t="shared" si="32"/>
        <v>193</v>
      </c>
      <c r="AE59" s="83">
        <f t="shared" si="32"/>
        <v>103</v>
      </c>
      <c r="AF59" s="207">
        <f t="shared" si="4"/>
        <v>2.1444444444444444</v>
      </c>
    </row>
    <row r="60" spans="1:32">
      <c r="A60" s="100"/>
      <c r="B60" s="516" t="s">
        <v>571</v>
      </c>
      <c r="C60" s="517"/>
      <c r="D60" s="517"/>
      <c r="E60" s="517"/>
      <c r="F60" s="517"/>
      <c r="G60" s="517"/>
      <c r="H60" s="517"/>
      <c r="I60" s="517"/>
      <c r="J60" s="517"/>
      <c r="K60" s="517"/>
      <c r="L60" s="51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32">
        <v>274</v>
      </c>
      <c r="Z60" s="332">
        <v>259</v>
      </c>
      <c r="AA60" s="83">
        <f>Z60-Y60</f>
        <v>-15</v>
      </c>
      <c r="AB60" s="207">
        <f>Z60/Y60</f>
        <v>0.94525547445255476</v>
      </c>
      <c r="AC60" s="243">
        <f t="shared" si="32"/>
        <v>274</v>
      </c>
      <c r="AD60" s="83">
        <f t="shared" si="32"/>
        <v>259</v>
      </c>
      <c r="AE60" s="83">
        <f t="shared" si="32"/>
        <v>-15</v>
      </c>
      <c r="AF60" s="207">
        <f t="shared" si="4"/>
        <v>0.94525547445255476</v>
      </c>
    </row>
    <row r="61" spans="1:32" ht="45.75" customHeight="1">
      <c r="A61" s="100"/>
      <c r="B61" s="516" t="s">
        <v>591</v>
      </c>
      <c r="C61" s="517"/>
      <c r="D61" s="517"/>
      <c r="E61" s="517"/>
      <c r="F61" s="517"/>
      <c r="G61" s="517"/>
      <c r="H61" s="517"/>
      <c r="I61" s="517"/>
      <c r="J61" s="517"/>
      <c r="K61" s="517"/>
      <c r="L61" s="51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32">
        <v>733</v>
      </c>
      <c r="Z61" s="332">
        <v>509</v>
      </c>
      <c r="AA61" s="83">
        <f t="shared" si="0"/>
        <v>-224</v>
      </c>
      <c r="AB61" s="207">
        <f t="shared" si="18"/>
        <v>0.69440654843110505</v>
      </c>
      <c r="AC61" s="243">
        <f t="shared" si="19"/>
        <v>733</v>
      </c>
      <c r="AD61" s="83">
        <f t="shared" si="2"/>
        <v>509</v>
      </c>
      <c r="AE61" s="83">
        <f t="shared" si="3"/>
        <v>-224</v>
      </c>
      <c r="AF61" s="207">
        <f t="shared" si="4"/>
        <v>0.69440654843110505</v>
      </c>
    </row>
    <row r="62" spans="1:32" ht="18.75" customHeight="1">
      <c r="A62" s="100"/>
      <c r="B62" s="516" t="s">
        <v>457</v>
      </c>
      <c r="C62" s="517"/>
      <c r="D62" s="517"/>
      <c r="E62" s="517"/>
      <c r="F62" s="517"/>
      <c r="G62" s="517"/>
      <c r="H62" s="517"/>
      <c r="I62" s="517"/>
      <c r="J62" s="517"/>
      <c r="K62" s="517"/>
      <c r="L62" s="51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32">
        <v>237</v>
      </c>
      <c r="Z62" s="332">
        <v>116</v>
      </c>
      <c r="AA62" s="83">
        <f t="shared" si="0"/>
        <v>-121</v>
      </c>
      <c r="AB62" s="207">
        <f t="shared" si="18"/>
        <v>0.48945147679324896</v>
      </c>
      <c r="AC62" s="243">
        <f t="shared" si="19"/>
        <v>237</v>
      </c>
      <c r="AD62" s="83">
        <f t="shared" si="2"/>
        <v>116</v>
      </c>
      <c r="AE62" s="83">
        <f t="shared" si="3"/>
        <v>-121</v>
      </c>
      <c r="AF62" s="207">
        <f t="shared" si="4"/>
        <v>0.48945147679324896</v>
      </c>
    </row>
    <row r="63" spans="1:32">
      <c r="A63" s="203" t="s">
        <v>538</v>
      </c>
      <c r="B63" s="521" t="s">
        <v>539</v>
      </c>
      <c r="C63" s="522"/>
      <c r="D63" s="522"/>
      <c r="E63" s="522"/>
      <c r="F63" s="522"/>
      <c r="G63" s="522"/>
      <c r="H63" s="522"/>
      <c r="I63" s="522"/>
      <c r="J63" s="522"/>
      <c r="K63" s="522"/>
      <c r="L63" s="523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5">
        <f>SUM(Y64:Y66)</f>
        <v>625</v>
      </c>
      <c r="Z63" s="205">
        <f>SUM(Z64:Z66)</f>
        <v>379</v>
      </c>
      <c r="AA63" s="205">
        <f t="shared" si="0"/>
        <v>-246</v>
      </c>
      <c r="AB63" s="206">
        <f>Z63/Y63</f>
        <v>0.60640000000000005</v>
      </c>
      <c r="AC63" s="259">
        <f t="shared" si="19"/>
        <v>625</v>
      </c>
      <c r="AD63" s="205">
        <f t="shared" si="2"/>
        <v>379</v>
      </c>
      <c r="AE63" s="205">
        <f t="shared" si="3"/>
        <v>-246</v>
      </c>
      <c r="AF63" s="206">
        <f t="shared" si="4"/>
        <v>0.60640000000000005</v>
      </c>
    </row>
    <row r="64" spans="1:32">
      <c r="A64" s="100"/>
      <c r="B64" s="516" t="s">
        <v>592</v>
      </c>
      <c r="C64" s="517"/>
      <c r="D64" s="517"/>
      <c r="E64" s="517"/>
      <c r="F64" s="517"/>
      <c r="G64" s="517"/>
      <c r="H64" s="517"/>
      <c r="I64" s="517"/>
      <c r="J64" s="517"/>
      <c r="K64" s="517"/>
      <c r="L64" s="518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2">
        <v>232</v>
      </c>
      <c r="Z64" s="332">
        <v>160</v>
      </c>
      <c r="AA64" s="83">
        <f t="shared" si="0"/>
        <v>-72</v>
      </c>
      <c r="AB64" s="207">
        <f>Z64/Y64</f>
        <v>0.68965517241379315</v>
      </c>
      <c r="AC64" s="243">
        <f t="shared" si="19"/>
        <v>232</v>
      </c>
      <c r="AD64" s="83">
        <f t="shared" si="2"/>
        <v>160</v>
      </c>
      <c r="AE64" s="83">
        <f t="shared" si="3"/>
        <v>-72</v>
      </c>
      <c r="AF64" s="207">
        <f t="shared" si="4"/>
        <v>0.68965517241379315</v>
      </c>
    </row>
    <row r="65" spans="1:32" ht="18.75" customHeight="1">
      <c r="A65" s="100"/>
      <c r="B65" s="516" t="s">
        <v>579</v>
      </c>
      <c r="C65" s="517"/>
      <c r="D65" s="517"/>
      <c r="E65" s="517"/>
      <c r="F65" s="517"/>
      <c r="G65" s="517"/>
      <c r="H65" s="517"/>
      <c r="I65" s="517"/>
      <c r="J65" s="517"/>
      <c r="K65" s="517"/>
      <c r="L65" s="518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2">
        <v>273</v>
      </c>
      <c r="Z65" s="332">
        <v>99</v>
      </c>
      <c r="AA65" s="83">
        <f>Z65-Y65</f>
        <v>-174</v>
      </c>
      <c r="AB65" s="207">
        <f>Z65/Y65</f>
        <v>0.36263736263736263</v>
      </c>
      <c r="AC65" s="243">
        <f>Y65</f>
        <v>273</v>
      </c>
      <c r="AD65" s="83">
        <f>Z65</f>
        <v>99</v>
      </c>
      <c r="AE65" s="83">
        <f>AA65</f>
        <v>-174</v>
      </c>
      <c r="AF65" s="207">
        <f t="shared" si="4"/>
        <v>0.36263736263736263</v>
      </c>
    </row>
    <row r="66" spans="1:32" ht="46.5" customHeight="1">
      <c r="A66" s="100"/>
      <c r="B66" s="516" t="s">
        <v>454</v>
      </c>
      <c r="C66" s="517"/>
      <c r="D66" s="517"/>
      <c r="E66" s="517"/>
      <c r="F66" s="517"/>
      <c r="G66" s="517"/>
      <c r="H66" s="517"/>
      <c r="I66" s="517"/>
      <c r="J66" s="517"/>
      <c r="K66" s="517"/>
      <c r="L66" s="518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2">
        <v>120</v>
      </c>
      <c r="Z66" s="332">
        <v>120</v>
      </c>
      <c r="AA66" s="83">
        <f t="shared" si="0"/>
        <v>0</v>
      </c>
      <c r="AB66" s="207">
        <f>Z66/Y66</f>
        <v>1</v>
      </c>
      <c r="AC66" s="243">
        <f t="shared" si="19"/>
        <v>120</v>
      </c>
      <c r="AD66" s="83">
        <f t="shared" si="2"/>
        <v>120</v>
      </c>
      <c r="AE66" s="83">
        <f t="shared" si="3"/>
        <v>0</v>
      </c>
      <c r="AF66" s="207">
        <f t="shared" si="4"/>
        <v>1</v>
      </c>
    </row>
    <row r="67" spans="1:32" s="297" customFormat="1" ht="46.5" customHeight="1">
      <c r="A67" s="203" t="s">
        <v>540</v>
      </c>
      <c r="B67" s="521" t="s">
        <v>541</v>
      </c>
      <c r="C67" s="522"/>
      <c r="D67" s="522"/>
      <c r="E67" s="522"/>
      <c r="F67" s="522"/>
      <c r="G67" s="522"/>
      <c r="H67" s="522"/>
      <c r="I67" s="522"/>
      <c r="J67" s="522"/>
      <c r="K67" s="522"/>
      <c r="L67" s="523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5">
        <f>SUM(Y68:Y71)</f>
        <v>4550</v>
      </c>
      <c r="Z67" s="205">
        <f>SUM(Z68:Z71)</f>
        <v>1197</v>
      </c>
      <c r="AA67" s="205">
        <f t="shared" si="0"/>
        <v>-3353</v>
      </c>
      <c r="AB67" s="206"/>
      <c r="AC67" s="259">
        <f t="shared" si="19"/>
        <v>4550</v>
      </c>
      <c r="AD67" s="205">
        <f t="shared" si="2"/>
        <v>1197</v>
      </c>
      <c r="AE67" s="205">
        <f t="shared" si="3"/>
        <v>-3353</v>
      </c>
      <c r="AF67" s="206"/>
    </row>
    <row r="68" spans="1:32" ht="46.5" customHeight="1">
      <c r="A68" s="100"/>
      <c r="B68" s="516" t="s">
        <v>570</v>
      </c>
      <c r="C68" s="517"/>
      <c r="D68" s="517"/>
      <c r="E68" s="517"/>
      <c r="F68" s="517"/>
      <c r="G68" s="517"/>
      <c r="H68" s="517"/>
      <c r="I68" s="517"/>
      <c r="J68" s="517"/>
      <c r="K68" s="517"/>
      <c r="L68" s="518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2">
        <v>900</v>
      </c>
      <c r="Z68" s="332">
        <v>900</v>
      </c>
      <c r="AA68" s="83">
        <f t="shared" si="0"/>
        <v>0</v>
      </c>
      <c r="AB68" s="207">
        <f>Z68/Y68</f>
        <v>1</v>
      </c>
      <c r="AC68" s="243">
        <f t="shared" si="19"/>
        <v>900</v>
      </c>
      <c r="AD68" s="83">
        <f t="shared" si="2"/>
        <v>900</v>
      </c>
      <c r="AE68" s="83">
        <f t="shared" si="3"/>
        <v>0</v>
      </c>
      <c r="AF68" s="207">
        <f>AD68/AC68</f>
        <v>1</v>
      </c>
    </row>
    <row r="69" spans="1:32" s="327" customFormat="1" ht="51" customHeight="1">
      <c r="A69" s="100"/>
      <c r="B69" s="516" t="s">
        <v>670</v>
      </c>
      <c r="C69" s="517"/>
      <c r="D69" s="517"/>
      <c r="E69" s="517"/>
      <c r="F69" s="517"/>
      <c r="G69" s="517"/>
      <c r="H69" s="517"/>
      <c r="I69" s="517"/>
      <c r="J69" s="517"/>
      <c r="K69" s="517"/>
      <c r="L69" s="518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2">
        <v>150</v>
      </c>
      <c r="Z69" s="332"/>
      <c r="AA69" s="330">
        <f t="shared" ref="AA69:AA70" si="33">Z69-Y69</f>
        <v>-150</v>
      </c>
      <c r="AB69" s="207">
        <f t="shared" ref="AB69:AB70" si="34">Z69/Y69</f>
        <v>0</v>
      </c>
      <c r="AC69" s="331">
        <f t="shared" ref="AC69:AC70" si="35">Y69</f>
        <v>150</v>
      </c>
      <c r="AD69" s="330">
        <f t="shared" ref="AD69:AD70" si="36">Z69</f>
        <v>0</v>
      </c>
      <c r="AE69" s="330">
        <f t="shared" ref="AE69:AE70" si="37">AA69</f>
        <v>-150</v>
      </c>
      <c r="AF69" s="207">
        <f t="shared" ref="AF69:AF70" si="38">AD69/AC69</f>
        <v>0</v>
      </c>
    </row>
    <row r="70" spans="1:32" ht="56.25" customHeight="1">
      <c r="A70" s="100"/>
      <c r="B70" s="516" t="s">
        <v>686</v>
      </c>
      <c r="C70" s="517"/>
      <c r="D70" s="517"/>
      <c r="E70" s="517"/>
      <c r="F70" s="517"/>
      <c r="G70" s="517"/>
      <c r="H70" s="517"/>
      <c r="I70" s="517"/>
      <c r="J70" s="517"/>
      <c r="K70" s="517"/>
      <c r="L70" s="518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2">
        <v>3500</v>
      </c>
      <c r="Z70" s="332">
        <v>297</v>
      </c>
      <c r="AA70" s="330">
        <f t="shared" si="33"/>
        <v>-3203</v>
      </c>
      <c r="AB70" s="207">
        <f t="shared" si="34"/>
        <v>8.4857142857142853E-2</v>
      </c>
      <c r="AC70" s="331">
        <f t="shared" si="35"/>
        <v>3500</v>
      </c>
      <c r="AD70" s="330">
        <f t="shared" si="36"/>
        <v>297</v>
      </c>
      <c r="AE70" s="330">
        <f t="shared" si="37"/>
        <v>-3203</v>
      </c>
      <c r="AF70" s="207">
        <f t="shared" si="38"/>
        <v>8.4857142857142853E-2</v>
      </c>
    </row>
    <row r="71" spans="1:32" ht="24.95" customHeight="1">
      <c r="A71" s="95"/>
      <c r="B71" s="524"/>
      <c r="C71" s="525"/>
      <c r="D71" s="525"/>
      <c r="E71" s="525"/>
      <c r="F71" s="525"/>
      <c r="G71" s="525"/>
      <c r="H71" s="525"/>
      <c r="I71" s="525"/>
      <c r="J71" s="525"/>
      <c r="K71" s="525"/>
      <c r="L71" s="526"/>
      <c r="M71" s="105"/>
      <c r="N71" s="105"/>
      <c r="O71" s="105"/>
      <c r="P71" s="142"/>
      <c r="Q71" s="105"/>
      <c r="R71" s="105"/>
      <c r="S71" s="105"/>
      <c r="T71" s="142"/>
      <c r="U71" s="105"/>
      <c r="V71" s="148"/>
      <c r="W71" s="105">
        <f>V71-U71</f>
        <v>0</v>
      </c>
      <c r="X71" s="142"/>
      <c r="Y71" s="83"/>
      <c r="Z71" s="83">
        <v>0</v>
      </c>
      <c r="AA71" s="83">
        <f t="shared" si="0"/>
        <v>0</v>
      </c>
      <c r="AB71" s="208" t="e">
        <f>Z71/Y71</f>
        <v>#DIV/0!</v>
      </c>
      <c r="AC71" s="243"/>
      <c r="AD71" s="83"/>
      <c r="AE71" s="83"/>
      <c r="AF71" s="208"/>
    </row>
    <row r="72" spans="1:32" ht="15" customHeight="1">
      <c r="A72" s="594" t="s">
        <v>53</v>
      </c>
      <c r="B72" s="595"/>
      <c r="C72" s="595"/>
      <c r="D72" s="595"/>
      <c r="E72" s="595"/>
      <c r="F72" s="595"/>
      <c r="G72" s="595"/>
      <c r="H72" s="595"/>
      <c r="I72" s="595"/>
      <c r="J72" s="595"/>
      <c r="K72" s="595"/>
      <c r="L72" s="596"/>
      <c r="M72" s="129">
        <f>SUM(M32:M71)/2</f>
        <v>0</v>
      </c>
      <c r="N72" s="209">
        <f>SUM(N32:N71)/2</f>
        <v>0</v>
      </c>
      <c r="O72" s="209">
        <f>SUM(O71:O71)</f>
        <v>0</v>
      </c>
      <c r="P72" s="210" t="e">
        <f>N72/M72</f>
        <v>#DIV/0!</v>
      </c>
      <c r="Q72" s="129">
        <f>SUM(Q32:Q71)/2</f>
        <v>0</v>
      </c>
      <c r="R72" s="209">
        <f>SUM(R32:R71)/2</f>
        <v>0</v>
      </c>
      <c r="S72" s="209">
        <f>SUM(S71:S71)</f>
        <v>0</v>
      </c>
      <c r="T72" s="210" t="e">
        <f>R72/Q72</f>
        <v>#DIV/0!</v>
      </c>
      <c r="U72" s="129">
        <f>SUM(U32:U71)/2</f>
        <v>0</v>
      </c>
      <c r="V72" s="209">
        <f>SUM(V32:V71)/2</f>
        <v>0</v>
      </c>
      <c r="W72" s="209">
        <f>SUM(W71:W71)</f>
        <v>0</v>
      </c>
      <c r="X72" s="210" t="e">
        <f>V72/U72</f>
        <v>#DIV/0!</v>
      </c>
      <c r="Y72" s="209">
        <f>SUM(Y32:Y71)/2</f>
        <v>52211</v>
      </c>
      <c r="Z72" s="209">
        <f>SUM(Z32:Z71)/2</f>
        <v>23155</v>
      </c>
      <c r="AA72" s="209">
        <f>SUM(AA71:AA71)</f>
        <v>0</v>
      </c>
      <c r="AB72" s="210">
        <f>Z72/Y72</f>
        <v>0.44348891995939554</v>
      </c>
      <c r="AC72" s="255">
        <f>SUM(AC32:AC71)/2</f>
        <v>52211</v>
      </c>
      <c r="AD72" s="209">
        <f>SUM(AD32:AD71)/2</f>
        <v>23155</v>
      </c>
      <c r="AE72" s="209">
        <f>SUM(AE71:AE71)</f>
        <v>0</v>
      </c>
      <c r="AF72" s="210">
        <f>AD72/AC72</f>
        <v>0.44348891995939554</v>
      </c>
    </row>
    <row r="73" spans="1:32" ht="15" customHeight="1">
      <c r="A73" s="597" t="s">
        <v>54</v>
      </c>
      <c r="B73" s="598"/>
      <c r="C73" s="598"/>
      <c r="D73" s="598"/>
      <c r="E73" s="598"/>
      <c r="F73" s="598"/>
      <c r="G73" s="598"/>
      <c r="H73" s="598"/>
      <c r="I73" s="598"/>
      <c r="J73" s="598"/>
      <c r="K73" s="598"/>
      <c r="L73" s="599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207"/>
    </row>
    <row r="74" spans="1:32" ht="15" customHeight="1">
      <c r="A74" s="17"/>
      <c r="B74" s="17"/>
      <c r="C74" s="1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32" s="41" customFormat="1" ht="31.5" customHeight="1">
      <c r="A75" s="17"/>
      <c r="B75" s="17"/>
      <c r="C75" s="1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" customHeight="1">
      <c r="A76" s="17"/>
      <c r="B76" s="17"/>
      <c r="C76" s="17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32" ht="15" customHeight="1">
      <c r="A77" s="41"/>
      <c r="B77" s="41"/>
      <c r="C77" s="41" t="s">
        <v>174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 ht="15" customHeight="1">
      <c r="A78" s="17"/>
      <c r="B78" s="17"/>
      <c r="C78" s="17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32" ht="15" customHeight="1">
      <c r="A79" s="17"/>
      <c r="B79" s="17"/>
      <c r="C79" s="1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32" ht="120" customHeight="1">
      <c r="A80" s="389" t="s">
        <v>49</v>
      </c>
      <c r="B80" s="452" t="s">
        <v>217</v>
      </c>
      <c r="C80" s="454"/>
      <c r="D80" s="389" t="s">
        <v>219</v>
      </c>
      <c r="E80" s="389"/>
      <c r="F80" s="389" t="s">
        <v>146</v>
      </c>
      <c r="G80" s="389"/>
      <c r="H80" s="389" t="s">
        <v>343</v>
      </c>
      <c r="I80" s="389"/>
      <c r="J80" s="389" t="s">
        <v>344</v>
      </c>
      <c r="K80" s="389"/>
      <c r="L80" s="389" t="s">
        <v>675</v>
      </c>
      <c r="M80" s="389"/>
      <c r="N80" s="389"/>
      <c r="O80" s="389"/>
      <c r="P80" s="389"/>
      <c r="Q80" s="389"/>
      <c r="R80" s="389"/>
      <c r="S80" s="389"/>
      <c r="T80" s="389"/>
      <c r="U80" s="389"/>
      <c r="V80" s="389" t="s">
        <v>218</v>
      </c>
      <c r="W80" s="389"/>
      <c r="X80" s="389"/>
      <c r="Y80" s="389"/>
      <c r="Z80" s="389"/>
      <c r="AA80" s="389" t="s">
        <v>354</v>
      </c>
      <c r="AB80" s="389"/>
      <c r="AC80" s="389"/>
      <c r="AD80" s="389"/>
      <c r="AE80" s="389"/>
      <c r="AF80" s="389"/>
    </row>
    <row r="81" spans="1:50" ht="15" customHeight="1">
      <c r="A81" s="389"/>
      <c r="B81" s="570"/>
      <c r="C81" s="572"/>
      <c r="D81" s="389"/>
      <c r="E81" s="389"/>
      <c r="F81" s="389"/>
      <c r="G81" s="389"/>
      <c r="H81" s="389"/>
      <c r="I81" s="389"/>
      <c r="J81" s="389"/>
      <c r="K81" s="389"/>
      <c r="L81" s="389" t="s">
        <v>202</v>
      </c>
      <c r="M81" s="389"/>
      <c r="N81" s="389" t="s">
        <v>205</v>
      </c>
      <c r="O81" s="389"/>
      <c r="P81" s="389" t="s">
        <v>206</v>
      </c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</row>
    <row r="82" spans="1:50" ht="112.5" customHeight="1">
      <c r="A82" s="389"/>
      <c r="B82" s="455"/>
      <c r="C82" s="457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 t="s">
        <v>203</v>
      </c>
      <c r="Q82" s="389"/>
      <c r="R82" s="389" t="s">
        <v>204</v>
      </c>
      <c r="S82" s="389"/>
      <c r="T82" s="389" t="s">
        <v>545</v>
      </c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</row>
    <row r="83" spans="1:50" s="261" customFormat="1">
      <c r="A83" s="241">
        <v>1</v>
      </c>
      <c r="B83" s="464">
        <v>2</v>
      </c>
      <c r="C83" s="466"/>
      <c r="D83" s="389">
        <v>3</v>
      </c>
      <c r="E83" s="389"/>
      <c r="F83" s="389">
        <v>4</v>
      </c>
      <c r="G83" s="389"/>
      <c r="H83" s="389">
        <v>5</v>
      </c>
      <c r="I83" s="389"/>
      <c r="J83" s="389">
        <v>6</v>
      </c>
      <c r="K83" s="389"/>
      <c r="L83" s="464">
        <v>7</v>
      </c>
      <c r="M83" s="466"/>
      <c r="N83" s="464">
        <v>8</v>
      </c>
      <c r="O83" s="466"/>
      <c r="P83" s="389">
        <v>9</v>
      </c>
      <c r="Q83" s="389"/>
      <c r="R83" s="389">
        <v>10</v>
      </c>
      <c r="S83" s="389"/>
      <c r="T83" s="389">
        <v>11</v>
      </c>
      <c r="U83" s="389"/>
      <c r="V83" s="389">
        <v>12</v>
      </c>
      <c r="W83" s="389"/>
      <c r="X83" s="389"/>
      <c r="Y83" s="389"/>
      <c r="Z83" s="389"/>
      <c r="AA83" s="389">
        <v>13</v>
      </c>
      <c r="AB83" s="389"/>
      <c r="AC83" s="389"/>
      <c r="AD83" s="389"/>
      <c r="AE83" s="389"/>
      <c r="AF83" s="389"/>
      <c r="AH83" s="2"/>
    </row>
    <row r="84" spans="1:50" s="261" customFormat="1" ht="138" customHeight="1">
      <c r="A84" s="262"/>
      <c r="B84" s="511" t="s">
        <v>690</v>
      </c>
      <c r="C84" s="512"/>
      <c r="D84" s="464" t="s">
        <v>689</v>
      </c>
      <c r="E84" s="466"/>
      <c r="F84" s="513">
        <f>42600+28+1587</f>
        <v>44215</v>
      </c>
      <c r="G84" s="514"/>
      <c r="H84" s="469"/>
      <c r="I84" s="469"/>
      <c r="J84" s="515"/>
      <c r="K84" s="515"/>
      <c r="L84" s="449">
        <v>28</v>
      </c>
      <c r="M84" s="451"/>
      <c r="N84" s="449">
        <f>SUM(R84:U84)</f>
        <v>28</v>
      </c>
      <c r="O84" s="451"/>
      <c r="P84" s="71"/>
      <c r="Q84" s="72"/>
      <c r="R84" s="593"/>
      <c r="S84" s="593"/>
      <c r="T84" s="515">
        <v>28</v>
      </c>
      <c r="U84" s="515"/>
      <c r="V84" s="487" t="s">
        <v>691</v>
      </c>
      <c r="W84" s="588"/>
      <c r="X84" s="588"/>
      <c r="Y84" s="588"/>
      <c r="Z84" s="488"/>
      <c r="AA84" s="485"/>
      <c r="AB84" s="485"/>
      <c r="AC84" s="485"/>
      <c r="AD84" s="485"/>
      <c r="AE84" s="485"/>
      <c r="AF84" s="485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</row>
    <row r="85" spans="1:50" s="297" customFormat="1" ht="201.75" customHeight="1">
      <c r="A85" s="262"/>
      <c r="B85" s="511" t="s">
        <v>687</v>
      </c>
      <c r="C85" s="512"/>
      <c r="D85" s="464" t="s">
        <v>689</v>
      </c>
      <c r="E85" s="466"/>
      <c r="F85" s="513">
        <v>19340.5</v>
      </c>
      <c r="G85" s="514"/>
      <c r="H85" s="489"/>
      <c r="I85" s="490"/>
      <c r="J85" s="449">
        <v>4.9000000000000004</v>
      </c>
      <c r="K85" s="451"/>
      <c r="L85" s="449">
        <v>361</v>
      </c>
      <c r="M85" s="451"/>
      <c r="N85" s="449">
        <f>SUM(R85:U85)</f>
        <v>253</v>
      </c>
      <c r="O85" s="451"/>
      <c r="P85" s="71"/>
      <c r="Q85" s="72"/>
      <c r="R85" s="519"/>
      <c r="S85" s="520"/>
      <c r="T85" s="449">
        <v>253</v>
      </c>
      <c r="U85" s="451"/>
      <c r="V85" s="487" t="s">
        <v>631</v>
      </c>
      <c r="W85" s="588"/>
      <c r="X85" s="588"/>
      <c r="Y85" s="588"/>
      <c r="Z85" s="488"/>
      <c r="AA85" s="444"/>
      <c r="AB85" s="462"/>
      <c r="AC85" s="462"/>
      <c r="AD85" s="462"/>
      <c r="AE85" s="462"/>
      <c r="AF85" s="445"/>
    </row>
    <row r="86" spans="1:50" ht="222" customHeight="1">
      <c r="A86" s="262"/>
      <c r="B86" s="511" t="s">
        <v>688</v>
      </c>
      <c r="C86" s="512"/>
      <c r="D86" s="464" t="s">
        <v>689</v>
      </c>
      <c r="E86" s="466"/>
      <c r="F86" s="513">
        <v>23624.7</v>
      </c>
      <c r="G86" s="514"/>
      <c r="H86" s="489"/>
      <c r="I86" s="490"/>
      <c r="J86" s="449"/>
      <c r="K86" s="451"/>
      <c r="L86" s="449">
        <f>325+29</f>
        <v>354</v>
      </c>
      <c r="M86" s="451"/>
      <c r="N86" s="449">
        <f>SUM(R86:U86)</f>
        <v>246</v>
      </c>
      <c r="O86" s="451"/>
      <c r="P86" s="71"/>
      <c r="Q86" s="72"/>
      <c r="R86" s="519"/>
      <c r="S86" s="520"/>
      <c r="T86" s="449">
        <f>217+29</f>
        <v>246</v>
      </c>
      <c r="U86" s="451"/>
      <c r="V86" s="589" t="s">
        <v>699</v>
      </c>
      <c r="W86" s="590"/>
      <c r="X86" s="590"/>
      <c r="Y86" s="590"/>
      <c r="Z86" s="591"/>
      <c r="AA86" s="444"/>
      <c r="AB86" s="462"/>
      <c r="AC86" s="462"/>
      <c r="AD86" s="462"/>
      <c r="AE86" s="462"/>
      <c r="AF86" s="445"/>
    </row>
    <row r="87" spans="1:50" s="327" customFormat="1" ht="222" customHeight="1">
      <c r="A87" s="329"/>
      <c r="B87" s="511" t="s">
        <v>672</v>
      </c>
      <c r="C87" s="512"/>
      <c r="D87" s="464" t="s">
        <v>630</v>
      </c>
      <c r="E87" s="466"/>
      <c r="F87" s="513">
        <v>9120.7000000000007</v>
      </c>
      <c r="G87" s="514"/>
      <c r="H87" s="489"/>
      <c r="I87" s="490"/>
      <c r="J87" s="449"/>
      <c r="K87" s="451"/>
      <c r="L87" s="449">
        <v>189</v>
      </c>
      <c r="M87" s="451"/>
      <c r="N87" s="449">
        <f>SUM(R87:U87)</f>
        <v>137</v>
      </c>
      <c r="O87" s="451"/>
      <c r="P87" s="71"/>
      <c r="Q87" s="72"/>
      <c r="R87" s="519"/>
      <c r="S87" s="520"/>
      <c r="T87" s="449">
        <f>132+5</f>
        <v>137</v>
      </c>
      <c r="U87" s="451"/>
      <c r="V87" s="589" t="s">
        <v>692</v>
      </c>
      <c r="W87" s="590"/>
      <c r="X87" s="590"/>
      <c r="Y87" s="590"/>
      <c r="Z87" s="591"/>
      <c r="AA87" s="444"/>
      <c r="AB87" s="462"/>
      <c r="AC87" s="462"/>
      <c r="AD87" s="462"/>
      <c r="AE87" s="462"/>
      <c r="AF87" s="445"/>
    </row>
    <row r="88" spans="1:50" ht="105" customHeight="1">
      <c r="A88" s="295"/>
      <c r="B88" s="600" t="s">
        <v>586</v>
      </c>
      <c r="C88" s="601"/>
      <c r="D88" s="464" t="s">
        <v>698</v>
      </c>
      <c r="E88" s="466"/>
      <c r="F88" s="513">
        <v>216</v>
      </c>
      <c r="G88" s="514"/>
      <c r="H88" s="489"/>
      <c r="I88" s="490"/>
      <c r="J88" s="519"/>
      <c r="K88" s="520"/>
      <c r="L88" s="519"/>
      <c r="M88" s="520"/>
      <c r="N88" s="519">
        <v>2</v>
      </c>
      <c r="O88" s="520"/>
      <c r="R88" s="519"/>
      <c r="S88" s="520"/>
      <c r="T88" s="519">
        <v>2</v>
      </c>
      <c r="U88" s="520"/>
      <c r="V88" s="589"/>
      <c r="W88" s="590"/>
      <c r="X88" s="590"/>
      <c r="Y88" s="590"/>
      <c r="Z88" s="591"/>
      <c r="AA88" s="444"/>
      <c r="AB88" s="462"/>
      <c r="AC88" s="462"/>
      <c r="AD88" s="462"/>
      <c r="AE88" s="462"/>
      <c r="AF88" s="445"/>
    </row>
    <row r="89" spans="1:50" ht="15" customHeight="1">
      <c r="A89" s="262"/>
      <c r="B89" s="600"/>
      <c r="C89" s="601"/>
      <c r="D89" s="464"/>
      <c r="E89" s="466"/>
      <c r="F89" s="513"/>
      <c r="G89" s="514"/>
      <c r="H89" s="489"/>
      <c r="I89" s="490"/>
      <c r="J89" s="489"/>
      <c r="K89" s="490"/>
      <c r="L89" s="489"/>
      <c r="M89" s="490"/>
      <c r="N89" s="489"/>
      <c r="O89" s="490"/>
      <c r="P89" s="489"/>
      <c r="Q89" s="490"/>
      <c r="R89" s="489"/>
      <c r="S89" s="490"/>
      <c r="T89" s="489"/>
      <c r="U89" s="490"/>
      <c r="V89" s="487"/>
      <c r="W89" s="588"/>
      <c r="X89" s="588"/>
      <c r="Y89" s="588"/>
      <c r="Z89" s="488"/>
      <c r="AA89" s="444"/>
      <c r="AB89" s="462"/>
      <c r="AC89" s="462"/>
      <c r="AD89" s="462"/>
      <c r="AE89" s="462"/>
      <c r="AF89" s="445"/>
    </row>
    <row r="90" spans="1:50" ht="15" customHeight="1">
      <c r="A90" s="606" t="s">
        <v>53</v>
      </c>
      <c r="B90" s="607"/>
      <c r="C90" s="607"/>
      <c r="D90" s="607"/>
      <c r="E90" s="608"/>
      <c r="F90" s="605">
        <f>SUM(F84:G89)</f>
        <v>96516.9</v>
      </c>
      <c r="G90" s="605"/>
      <c r="H90" s="605">
        <f>SUM(H84:I89)</f>
        <v>0</v>
      </c>
      <c r="I90" s="605"/>
      <c r="J90" s="605">
        <f>SUM(J84:K89)</f>
        <v>4.9000000000000004</v>
      </c>
      <c r="K90" s="605"/>
      <c r="L90" s="605">
        <f>SUM(L84:M89)</f>
        <v>932</v>
      </c>
      <c r="M90" s="605"/>
      <c r="N90" s="605">
        <f>SUM(N84:O89)</f>
        <v>666</v>
      </c>
      <c r="O90" s="605"/>
      <c r="P90" s="605">
        <f>SUM(P84:Q89)</f>
        <v>0</v>
      </c>
      <c r="Q90" s="605"/>
      <c r="R90" s="605">
        <f>SUM(R84:S89)</f>
        <v>0</v>
      </c>
      <c r="S90" s="605"/>
      <c r="T90" s="605">
        <f>SUM(T84:U89)</f>
        <v>666</v>
      </c>
      <c r="U90" s="605"/>
      <c r="V90" s="609"/>
      <c r="W90" s="609"/>
      <c r="X90" s="609"/>
      <c r="Y90" s="609"/>
      <c r="Z90" s="609"/>
      <c r="AA90" s="478"/>
      <c r="AB90" s="478"/>
      <c r="AC90" s="478"/>
      <c r="AD90" s="478"/>
      <c r="AE90" s="478"/>
      <c r="AF90" s="478"/>
    </row>
    <row r="91" spans="1:50" ht="15" customHeight="1">
      <c r="A91" s="17"/>
      <c r="B91" s="17"/>
      <c r="C91" s="17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50" ht="15" customHeight="1">
      <c r="A92" s="17"/>
      <c r="B92" s="17"/>
      <c r="C92" s="1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50" ht="15" customHeight="1">
      <c r="A93" s="17"/>
      <c r="B93" s="17"/>
      <c r="C93" s="17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50" ht="15" customHeight="1">
      <c r="A94" s="17"/>
      <c r="B94" s="17"/>
      <c r="C94" s="1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50" ht="15" customHeight="1">
      <c r="A95" s="17"/>
      <c r="B95" s="17"/>
      <c r="C95" s="1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50" ht="15" customHeight="1">
      <c r="A96" s="17"/>
      <c r="B96" s="17"/>
      <c r="C96" s="17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32" ht="15" customHeight="1">
      <c r="A97" s="17"/>
      <c r="B97" s="17"/>
      <c r="C97" s="17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32" ht="15" customHeight="1">
      <c r="A98" s="17"/>
      <c r="B98" s="17"/>
      <c r="C98" s="17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32" ht="15" customHeight="1">
      <c r="A99" s="17"/>
      <c r="B99" s="17"/>
      <c r="C99" s="1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32" ht="15" customHeight="1">
      <c r="A100" s="17"/>
      <c r="B100" s="17"/>
      <c r="C100" s="17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32" ht="15" customHeight="1">
      <c r="A101" s="17"/>
      <c r="B101" s="17"/>
      <c r="C101" s="17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32" s="233" customFormat="1" ht="28.5" customHeight="1">
      <c r="A102" s="17"/>
      <c r="B102" s="17"/>
      <c r="C102" s="17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s="4" customFormat="1">
      <c r="A103" s="17"/>
      <c r="B103" s="17"/>
      <c r="C103" s="1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s="34" customFormat="1" ht="16.5" customHeight="1">
      <c r="A104" s="231"/>
      <c r="B104" s="603" t="s">
        <v>597</v>
      </c>
      <c r="C104" s="603"/>
      <c r="D104" s="603"/>
      <c r="E104" s="603"/>
      <c r="F104" s="603"/>
      <c r="G104" s="603"/>
      <c r="H104" s="232"/>
      <c r="I104" s="232"/>
      <c r="J104" s="232"/>
      <c r="K104" s="232"/>
      <c r="L104" s="232"/>
      <c r="M104" s="604" t="s">
        <v>201</v>
      </c>
      <c r="N104" s="604"/>
      <c r="O104" s="604"/>
      <c r="P104" s="604"/>
      <c r="Q104" s="604"/>
      <c r="R104" s="232"/>
      <c r="S104" s="232"/>
      <c r="T104" s="232"/>
      <c r="U104" s="232"/>
      <c r="V104" s="232"/>
      <c r="W104" s="602" t="s">
        <v>599</v>
      </c>
      <c r="X104" s="602"/>
      <c r="Y104" s="602"/>
      <c r="Z104" s="602"/>
      <c r="AA104" s="602"/>
      <c r="AB104" s="233"/>
      <c r="AC104" s="233"/>
      <c r="AD104" s="233"/>
      <c r="AE104" s="233"/>
      <c r="AF104" s="233"/>
    </row>
    <row r="105" spans="1:32" s="4" customFormat="1">
      <c r="B105" s="398"/>
      <c r="C105" s="398"/>
      <c r="D105" s="398"/>
      <c r="E105" s="398"/>
      <c r="F105" s="398"/>
      <c r="G105" s="398"/>
      <c r="H105" s="41"/>
      <c r="I105" s="41"/>
      <c r="J105" s="41"/>
      <c r="K105" s="41"/>
      <c r="L105" s="41"/>
      <c r="M105" s="398" t="s">
        <v>72</v>
      </c>
      <c r="N105" s="398"/>
      <c r="O105" s="398"/>
      <c r="P105" s="398"/>
      <c r="Q105" s="398"/>
      <c r="V105" s="2"/>
      <c r="W105" s="398"/>
      <c r="X105" s="398"/>
      <c r="Y105" s="398"/>
      <c r="Z105" s="398"/>
      <c r="AA105" s="398"/>
    </row>
    <row r="106" spans="1:32">
      <c r="A106" s="34"/>
      <c r="B106" s="34"/>
      <c r="C106" s="101"/>
      <c r="D106" s="68"/>
      <c r="E106" s="68"/>
      <c r="F106" s="67"/>
      <c r="G106" s="67"/>
      <c r="H106" s="67"/>
      <c r="I106" s="67"/>
      <c r="J106" s="67"/>
      <c r="K106" s="67"/>
      <c r="L106" s="67"/>
      <c r="M106" s="67"/>
      <c r="N106" s="34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34"/>
      <c r="AC106" s="34"/>
      <c r="AD106" s="34"/>
      <c r="AE106" s="34"/>
      <c r="AF106" s="34"/>
    </row>
    <row r="107" spans="1:32">
      <c r="A107" s="4"/>
      <c r="B107" s="4"/>
      <c r="C107" s="4"/>
      <c r="D107" s="4"/>
      <c r="E107" s="4"/>
      <c r="F107" s="25"/>
      <c r="G107" s="25"/>
      <c r="H107" s="25"/>
      <c r="I107" s="25"/>
      <c r="J107" s="25"/>
      <c r="K107" s="25"/>
      <c r="L107" s="25"/>
      <c r="M107" s="4"/>
      <c r="N107" s="4"/>
      <c r="O107" s="4"/>
      <c r="P107" s="4"/>
      <c r="Q107" s="25"/>
      <c r="R107" s="25"/>
      <c r="S107" s="25"/>
      <c r="T107" s="25"/>
      <c r="U107" s="4"/>
      <c r="V107" s="4"/>
      <c r="W107" s="4"/>
      <c r="X107" s="25"/>
      <c r="Y107" s="25"/>
      <c r="Z107" s="25"/>
      <c r="AA107" s="25"/>
      <c r="AB107" s="4"/>
      <c r="AC107" s="4"/>
      <c r="AD107" s="4"/>
      <c r="AE107" s="4"/>
      <c r="AF107" s="4"/>
    </row>
    <row r="108" spans="1:32">
      <c r="C108" s="35"/>
      <c r="D108" s="35"/>
      <c r="E108" s="35"/>
      <c r="F108" s="35"/>
      <c r="G108" s="35"/>
      <c r="H108" s="35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35"/>
      <c r="V108" s="35"/>
    </row>
    <row r="109" spans="1:32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32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32">
      <c r="C111" s="36"/>
    </row>
    <row r="114" spans="3:3" ht="19.5">
      <c r="C114" s="37"/>
    </row>
    <row r="115" spans="3:3" ht="19.5">
      <c r="C115" s="37"/>
    </row>
    <row r="116" spans="3:3" ht="19.5">
      <c r="C116" s="37"/>
    </row>
    <row r="117" spans="3:3" ht="19.5">
      <c r="C117" s="37"/>
    </row>
    <row r="118" spans="3:3" ht="19.5">
      <c r="C118" s="37"/>
    </row>
    <row r="119" spans="3:3" ht="19.5">
      <c r="C119" s="37"/>
    </row>
    <row r="120" spans="3:3" ht="19.5">
      <c r="C120" s="37"/>
    </row>
  </sheetData>
  <mergeCells count="266">
    <mergeCell ref="W104:AA104"/>
    <mergeCell ref="B105:G105"/>
    <mergeCell ref="M105:Q105"/>
    <mergeCell ref="W105:AA105"/>
    <mergeCell ref="B104:G104"/>
    <mergeCell ref="M104:Q104"/>
    <mergeCell ref="AA90:AF90"/>
    <mergeCell ref="R90:S90"/>
    <mergeCell ref="F90:G90"/>
    <mergeCell ref="N90:O90"/>
    <mergeCell ref="H90:I90"/>
    <mergeCell ref="J90:K90"/>
    <mergeCell ref="L90:M90"/>
    <mergeCell ref="P90:Q90"/>
    <mergeCell ref="A90:E90"/>
    <mergeCell ref="V90:Z90"/>
    <mergeCell ref="T90:U90"/>
    <mergeCell ref="B89:C89"/>
    <mergeCell ref="D89:E89"/>
    <mergeCell ref="F89:G89"/>
    <mergeCell ref="H89:I89"/>
    <mergeCell ref="N85:O85"/>
    <mergeCell ref="T85:U85"/>
    <mergeCell ref="R85:S85"/>
    <mergeCell ref="J89:K89"/>
    <mergeCell ref="B88:C88"/>
    <mergeCell ref="L85:M85"/>
    <mergeCell ref="B87:C87"/>
    <mergeCell ref="L87:M87"/>
    <mergeCell ref="N87:O87"/>
    <mergeCell ref="T87:U87"/>
    <mergeCell ref="D87:E87"/>
    <mergeCell ref="F87:G87"/>
    <mergeCell ref="H87:I87"/>
    <mergeCell ref="J87:K87"/>
    <mergeCell ref="R87:S87"/>
    <mergeCell ref="R82:S82"/>
    <mergeCell ref="V86:Z86"/>
    <mergeCell ref="T86:U86"/>
    <mergeCell ref="AA80:AF82"/>
    <mergeCell ref="T83:U83"/>
    <mergeCell ref="B44:L44"/>
    <mergeCell ref="B34:L34"/>
    <mergeCell ref="B33:L33"/>
    <mergeCell ref="N84:O84"/>
    <mergeCell ref="V83:Z83"/>
    <mergeCell ref="AA83:AF83"/>
    <mergeCell ref="V80:Z82"/>
    <mergeCell ref="P81:U81"/>
    <mergeCell ref="P82:Q82"/>
    <mergeCell ref="P83:Q83"/>
    <mergeCell ref="T82:U82"/>
    <mergeCell ref="L80:U80"/>
    <mergeCell ref="AA86:AF86"/>
    <mergeCell ref="B47:L47"/>
    <mergeCell ref="B45:L45"/>
    <mergeCell ref="B43:L43"/>
    <mergeCell ref="B67:L67"/>
    <mergeCell ref="B68:L68"/>
    <mergeCell ref="A72:L72"/>
    <mergeCell ref="F83:G83"/>
    <mergeCell ref="H83:I83"/>
    <mergeCell ref="J83:K83"/>
    <mergeCell ref="D83:E83"/>
    <mergeCell ref="B83:C83"/>
    <mergeCell ref="D80:E82"/>
    <mergeCell ref="F80:G82"/>
    <mergeCell ref="A73:L73"/>
    <mergeCell ref="A80:A82"/>
    <mergeCell ref="B80:C82"/>
    <mergeCell ref="H80:I82"/>
    <mergeCell ref="AA89:AF89"/>
    <mergeCell ref="P89:Q89"/>
    <mergeCell ref="R89:S89"/>
    <mergeCell ref="V89:Z89"/>
    <mergeCell ref="L89:M89"/>
    <mergeCell ref="T89:U89"/>
    <mergeCell ref="N83:O83"/>
    <mergeCell ref="V87:Z87"/>
    <mergeCell ref="V85:Z85"/>
    <mergeCell ref="AA85:AF85"/>
    <mergeCell ref="R86:S86"/>
    <mergeCell ref="T84:U84"/>
    <mergeCell ref="N88:O88"/>
    <mergeCell ref="T88:U88"/>
    <mergeCell ref="V84:Z84"/>
    <mergeCell ref="N89:O89"/>
    <mergeCell ref="L83:M83"/>
    <mergeCell ref="R88:S88"/>
    <mergeCell ref="V88:Z88"/>
    <mergeCell ref="AA88:AF88"/>
    <mergeCell ref="R83:S83"/>
    <mergeCell ref="R84:S84"/>
    <mergeCell ref="AA84:AF84"/>
    <mergeCell ref="AA87:AF87"/>
    <mergeCell ref="AD18:AF18"/>
    <mergeCell ref="AA19:AC19"/>
    <mergeCell ref="X18:Z18"/>
    <mergeCell ref="AA18:AC18"/>
    <mergeCell ref="Z27:AB27"/>
    <mergeCell ref="AC29:AC30"/>
    <mergeCell ref="Y29:Y30"/>
    <mergeCell ref="B28:L30"/>
    <mergeCell ref="M28:P28"/>
    <mergeCell ref="Q28:T28"/>
    <mergeCell ref="U28:X28"/>
    <mergeCell ref="X29:X30"/>
    <mergeCell ref="U19:W19"/>
    <mergeCell ref="R19:T19"/>
    <mergeCell ref="M29:M30"/>
    <mergeCell ref="N29:N30"/>
    <mergeCell ref="O29:O30"/>
    <mergeCell ref="A20:Q20"/>
    <mergeCell ref="A28:A30"/>
    <mergeCell ref="AD27:AF27"/>
    <mergeCell ref="Y28:AB28"/>
    <mergeCell ref="AC28:AF28"/>
    <mergeCell ref="P29:P30"/>
    <mergeCell ref="Q29:Q30"/>
    <mergeCell ref="U18:W18"/>
    <mergeCell ref="AA29:AA30"/>
    <mergeCell ref="S29:S30"/>
    <mergeCell ref="R29:R30"/>
    <mergeCell ref="W29:W30"/>
    <mergeCell ref="AB29:AB30"/>
    <mergeCell ref="V29:V30"/>
    <mergeCell ref="Z29:Z30"/>
    <mergeCell ref="T29:T30"/>
    <mergeCell ref="U29:U30"/>
    <mergeCell ref="R20:T20"/>
    <mergeCell ref="U20:W20"/>
    <mergeCell ref="X20:Z20"/>
    <mergeCell ref="AF29:AF30"/>
    <mergeCell ref="AD29:AD30"/>
    <mergeCell ref="AE29:AE30"/>
    <mergeCell ref="AD19:AF19"/>
    <mergeCell ref="AA20:AC20"/>
    <mergeCell ref="AD20:AF20"/>
    <mergeCell ref="X19:Z19"/>
    <mergeCell ref="B42:L42"/>
    <mergeCell ref="B36:L36"/>
    <mergeCell ref="B37:L37"/>
    <mergeCell ref="B38:L38"/>
    <mergeCell ref="B39:L39"/>
    <mergeCell ref="B40:L40"/>
    <mergeCell ref="A9:Q9"/>
    <mergeCell ref="A15:A17"/>
    <mergeCell ref="B15:C17"/>
    <mergeCell ref="D15:G17"/>
    <mergeCell ref="H15:O17"/>
    <mergeCell ref="P15:Q17"/>
    <mergeCell ref="D18:G18"/>
    <mergeCell ref="H18:O18"/>
    <mergeCell ref="B41:L41"/>
    <mergeCell ref="B35:L35"/>
    <mergeCell ref="B18:C18"/>
    <mergeCell ref="P18:Q18"/>
    <mergeCell ref="B31:L31"/>
    <mergeCell ref="B32:L32"/>
    <mergeCell ref="AD7:AF7"/>
    <mergeCell ref="R6:T6"/>
    <mergeCell ref="U6:W6"/>
    <mergeCell ref="X6:Z6"/>
    <mergeCell ref="AA7:AC7"/>
    <mergeCell ref="U7:W7"/>
    <mergeCell ref="X7:Z7"/>
    <mergeCell ref="U16:W17"/>
    <mergeCell ref="X16:Z17"/>
    <mergeCell ref="X8:Z8"/>
    <mergeCell ref="R15:Z15"/>
    <mergeCell ref="AD15:AF17"/>
    <mergeCell ref="R8:T8"/>
    <mergeCell ref="U8:W8"/>
    <mergeCell ref="AA8:AC8"/>
    <mergeCell ref="AD8:AF8"/>
    <mergeCell ref="R9:T9"/>
    <mergeCell ref="U9:W9"/>
    <mergeCell ref="AA9:AC9"/>
    <mergeCell ref="AA15:AC17"/>
    <mergeCell ref="R16:T17"/>
    <mergeCell ref="AD9:AF9"/>
    <mergeCell ref="AA3:AC4"/>
    <mergeCell ref="AD3:AF4"/>
    <mergeCell ref="R4:T4"/>
    <mergeCell ref="U4:W4"/>
    <mergeCell ref="X4:Z4"/>
    <mergeCell ref="AA5:AC5"/>
    <mergeCell ref="AD5:AF5"/>
    <mergeCell ref="AA6:AC6"/>
    <mergeCell ref="AD6:AF6"/>
    <mergeCell ref="R5:T5"/>
    <mergeCell ref="U5:W5"/>
    <mergeCell ref="X5:Z5"/>
    <mergeCell ref="A3:A4"/>
    <mergeCell ref="B3:C4"/>
    <mergeCell ref="D3:F4"/>
    <mergeCell ref="G3:Q4"/>
    <mergeCell ref="R3:Z3"/>
    <mergeCell ref="B19:C19"/>
    <mergeCell ref="D19:G19"/>
    <mergeCell ref="P19:Q19"/>
    <mergeCell ref="X9:Z9"/>
    <mergeCell ref="B5:C5"/>
    <mergeCell ref="D5:F5"/>
    <mergeCell ref="G5:Q5"/>
    <mergeCell ref="B6:C6"/>
    <mergeCell ref="D6:F6"/>
    <mergeCell ref="B7:C7"/>
    <mergeCell ref="D7:F7"/>
    <mergeCell ref="G7:Q7"/>
    <mergeCell ref="G6:Q6"/>
    <mergeCell ref="R7:T7"/>
    <mergeCell ref="H19:O19"/>
    <mergeCell ref="G8:Q8"/>
    <mergeCell ref="B8:C8"/>
    <mergeCell ref="D8:F8"/>
    <mergeCell ref="R18:T18"/>
    <mergeCell ref="B46:L46"/>
    <mergeCell ref="B53:L53"/>
    <mergeCell ref="B48:L48"/>
    <mergeCell ref="B49:L49"/>
    <mergeCell ref="B50:L50"/>
    <mergeCell ref="B51:L51"/>
    <mergeCell ref="B52:L52"/>
    <mergeCell ref="B55:L55"/>
    <mergeCell ref="B54:L54"/>
    <mergeCell ref="B56:L56"/>
    <mergeCell ref="B65:L65"/>
    <mergeCell ref="H88:I88"/>
    <mergeCell ref="J88:K88"/>
    <mergeCell ref="L88:M88"/>
    <mergeCell ref="B85:C85"/>
    <mergeCell ref="D85:E85"/>
    <mergeCell ref="F85:G85"/>
    <mergeCell ref="H85:I85"/>
    <mergeCell ref="J85:K85"/>
    <mergeCell ref="B61:L61"/>
    <mergeCell ref="B62:L62"/>
    <mergeCell ref="B69:L69"/>
    <mergeCell ref="J80:K82"/>
    <mergeCell ref="L81:M82"/>
    <mergeCell ref="B70:L70"/>
    <mergeCell ref="B60:L60"/>
    <mergeCell ref="B63:L63"/>
    <mergeCell ref="B64:L64"/>
    <mergeCell ref="B71:L71"/>
    <mergeCell ref="B66:L66"/>
    <mergeCell ref="B58:L58"/>
    <mergeCell ref="B57:L57"/>
    <mergeCell ref="B59:L59"/>
    <mergeCell ref="N81:O82"/>
    <mergeCell ref="B86:C86"/>
    <mergeCell ref="D86:E86"/>
    <mergeCell ref="F86:G86"/>
    <mergeCell ref="H86:I86"/>
    <mergeCell ref="J86:K86"/>
    <mergeCell ref="L86:M86"/>
    <mergeCell ref="N86:O86"/>
    <mergeCell ref="D88:E88"/>
    <mergeCell ref="F88:G88"/>
    <mergeCell ref="B84:C84"/>
    <mergeCell ref="D84:E84"/>
    <mergeCell ref="F84:G84"/>
    <mergeCell ref="H84:I84"/>
    <mergeCell ref="J84:K84"/>
    <mergeCell ref="L84:M84"/>
  </mergeCells>
  <pageMargins left="0.25" right="0.25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'I. Фін результат'!_Hlk947128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Пилипенко Святослава Іллівна</cp:lastModifiedBy>
  <cp:lastPrinted>2019-02-20T07:05:57Z</cp:lastPrinted>
  <dcterms:created xsi:type="dcterms:W3CDTF">2003-03-13T16:00:22Z</dcterms:created>
  <dcterms:modified xsi:type="dcterms:W3CDTF">2019-05-11T09:06:06Z</dcterms:modified>
</cp:coreProperties>
</file>