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860" windowWidth="20940" windowHeight="11175" tabRatio="870"/>
  </bookViews>
  <sheets>
    <sheet name="Осн. фін. пок." sheetId="5" r:id="rId1"/>
    <sheet name="I. Формування фін. рез." sheetId="6" r:id="rId2"/>
    <sheet name="ІІ. Розр. з бюджетом" sheetId="7" r:id="rId3"/>
    <sheet name="ІІІ. Рух грош. коштів" sheetId="8" r:id="rId4"/>
    <sheet name="IV. Кап. інвестиції" sheetId="9" r:id="rId5"/>
    <sheet name=" V. Коефіцієнти" sheetId="10" r:id="rId6"/>
    <sheet name="Iнформація до ФП" sheetId="11" r:id="rId7"/>
    <sheet name="Продовження інф. до ФП" sheetId="12" r:id="rId8"/>
  </sheets>
  <definedNames>
    <definedName name="_xlnm.Print_Titles" localSheetId="1">'I. Формування фін. рез.'!$3:$5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пок.'!$27:$29</definedName>
  </definedNames>
  <calcPr calcId="145621" refMode="R1C1"/>
</workbook>
</file>

<file path=xl/calcChain.xml><?xml version="1.0" encoding="utf-8"?>
<calcChain xmlns="http://schemas.openxmlformats.org/spreadsheetml/2006/main">
  <c r="H25" i="8" l="1"/>
  <c r="H14" i="8"/>
  <c r="H24" i="7"/>
  <c r="Z27" i="12" l="1"/>
  <c r="L77" i="11"/>
  <c r="J38" i="11"/>
  <c r="J37" i="11"/>
  <c r="J33" i="11"/>
  <c r="J32" i="11"/>
  <c r="J23" i="11"/>
  <c r="J22" i="11"/>
  <c r="F38" i="11"/>
  <c r="F37" i="11"/>
  <c r="F33" i="11"/>
  <c r="F36" i="11" s="1"/>
  <c r="H38" i="11" l="1"/>
  <c r="H37" i="11"/>
  <c r="H33" i="11"/>
  <c r="H32" i="11"/>
  <c r="E78" i="6"/>
  <c r="E16" i="6"/>
  <c r="E8" i="6" s="1"/>
  <c r="F22" i="10"/>
  <c r="F21" i="10"/>
  <c r="F6" i="9"/>
  <c r="F78" i="8"/>
  <c r="F76" i="8" s="1"/>
  <c r="F71" i="8"/>
  <c r="F69" i="8" s="1"/>
  <c r="F86" i="8" s="1"/>
  <c r="F65" i="8"/>
  <c r="F62" i="8"/>
  <c r="F60" i="8" s="1"/>
  <c r="F57" i="8" s="1"/>
  <c r="F55" i="8"/>
  <c r="F48" i="8"/>
  <c r="F45" i="8"/>
  <c r="F43" i="8"/>
  <c r="F40" i="8"/>
  <c r="F39" i="8"/>
  <c r="F38" i="8"/>
  <c r="F36" i="8"/>
  <c r="F34" i="8" s="1"/>
  <c r="F31" i="8"/>
  <c r="F29" i="8"/>
  <c r="F24" i="8"/>
  <c r="F19" i="8"/>
  <c r="F17" i="8" s="1"/>
  <c r="F13" i="8"/>
  <c r="F9" i="8"/>
  <c r="F7" i="8" l="1"/>
  <c r="F67" i="8"/>
  <c r="F50" i="7"/>
  <c r="F48" i="7"/>
  <c r="F45" i="7"/>
  <c r="F41" i="7"/>
  <c r="F40" i="7"/>
  <c r="F38" i="7"/>
  <c r="F34" i="7" s="1"/>
  <c r="F35" i="7"/>
  <c r="F33" i="8" s="1"/>
  <c r="F32" i="7"/>
  <c r="F23" i="7"/>
  <c r="F20" i="7"/>
  <c r="F18" i="7" s="1"/>
  <c r="F9" i="7"/>
  <c r="F122" i="6"/>
  <c r="F94" i="6"/>
  <c r="F93" i="6" s="1"/>
  <c r="F91" i="6" s="1"/>
  <c r="F90" i="6"/>
  <c r="F89" i="6"/>
  <c r="F87" i="6" s="1"/>
  <c r="F85" i="6"/>
  <c r="F84" i="6"/>
  <c r="H84" i="6" s="1"/>
  <c r="F82" i="6"/>
  <c r="F73" i="6"/>
  <c r="F67" i="6" s="1"/>
  <c r="F61" i="6"/>
  <c r="F58" i="6" s="1"/>
  <c r="F56" i="6"/>
  <c r="F49" i="6" s="1"/>
  <c r="F48" i="6"/>
  <c r="F43" i="6"/>
  <c r="F41" i="6"/>
  <c r="F36" i="6"/>
  <c r="F16" i="6"/>
  <c r="F52" i="7" l="1"/>
  <c r="F41" i="8"/>
  <c r="F37" i="8" s="1"/>
  <c r="F28" i="8" s="1"/>
  <c r="F20" i="8" s="1"/>
  <c r="F46" i="8" s="1"/>
  <c r="F87" i="8" s="1"/>
  <c r="F90" i="8" s="1"/>
  <c r="F103" i="6"/>
  <c r="I8" i="8"/>
  <c r="D45" i="8"/>
  <c r="D39" i="8"/>
  <c r="D19" i="8"/>
  <c r="E38" i="7"/>
  <c r="I26" i="7"/>
  <c r="D40" i="7"/>
  <c r="D35" i="7"/>
  <c r="D20" i="7"/>
  <c r="D48" i="6" l="1"/>
  <c r="D36" i="6"/>
  <c r="J36" i="11"/>
  <c r="D41" i="6" l="1"/>
  <c r="H96" i="6" l="1"/>
  <c r="D94" i="6"/>
  <c r="D90" i="6"/>
  <c r="D84" i="6"/>
  <c r="C167" i="5" l="1"/>
  <c r="C169" i="5"/>
  <c r="C168" i="5"/>
  <c r="C164" i="5"/>
  <c r="C33" i="7" l="1"/>
  <c r="C16" i="6"/>
  <c r="AN32" i="11" l="1"/>
  <c r="AN20" i="11"/>
  <c r="AN21" i="11"/>
  <c r="AN25" i="11"/>
  <c r="AN26" i="11"/>
  <c r="AN29" i="11"/>
  <c r="AN31" i="11"/>
  <c r="AN33" i="11"/>
  <c r="AN35" i="11"/>
  <c r="AN36" i="11"/>
  <c r="AM13" i="11"/>
  <c r="AM14" i="11"/>
  <c r="AM15" i="11"/>
  <c r="AM16" i="11"/>
  <c r="AM17" i="11"/>
  <c r="AM18" i="11"/>
  <c r="AM19" i="11"/>
  <c r="AN19" i="11" s="1"/>
  <c r="AM20" i="11"/>
  <c r="AM21" i="11"/>
  <c r="AM22" i="11"/>
  <c r="AN22" i="11" s="1"/>
  <c r="AM23" i="11"/>
  <c r="AN23" i="11" s="1"/>
  <c r="AM24" i="11"/>
  <c r="AM25" i="11"/>
  <c r="AM26" i="11"/>
  <c r="AM27" i="11"/>
  <c r="AN27" i="11" s="1"/>
  <c r="AM28" i="11"/>
  <c r="AN28" i="11" s="1"/>
  <c r="AM29" i="11"/>
  <c r="AM30" i="11"/>
  <c r="AM34" i="11"/>
  <c r="AN34" i="11" s="1"/>
  <c r="AM35" i="11"/>
  <c r="AM36" i="11"/>
  <c r="AM37" i="11"/>
  <c r="AN37" i="11" s="1"/>
  <c r="AM38" i="11"/>
  <c r="AM12" i="11"/>
  <c r="E23" i="7" l="1"/>
  <c r="E43" i="6"/>
  <c r="I21" i="8" l="1"/>
  <c r="K21" i="8" s="1"/>
  <c r="D38" i="8"/>
  <c r="I38" i="8" s="1"/>
  <c r="D40" i="8"/>
  <c r="I40" i="8" s="1"/>
  <c r="D29" i="8"/>
  <c r="D31" i="8"/>
  <c r="I31" i="8" s="1"/>
  <c r="D36" i="8"/>
  <c r="D34" i="8"/>
  <c r="I34" i="8" s="1"/>
  <c r="K34" i="8" s="1"/>
  <c r="I23" i="8"/>
  <c r="E55" i="8"/>
  <c r="E48" i="8"/>
  <c r="I88" i="8"/>
  <c r="I22" i="8"/>
  <c r="K22" i="8" s="1"/>
  <c r="I12" i="8"/>
  <c r="D9" i="8"/>
  <c r="I9" i="8" s="1"/>
  <c r="K9" i="8" s="1"/>
  <c r="I10" i="8"/>
  <c r="K10" i="8"/>
  <c r="I11" i="8"/>
  <c r="K11" i="8" s="1"/>
  <c r="I15" i="8"/>
  <c r="K15" i="8" s="1"/>
  <c r="I16" i="8"/>
  <c r="K16" i="8" s="1"/>
  <c r="I18" i="8"/>
  <c r="K18" i="8" s="1"/>
  <c r="D17" i="8"/>
  <c r="I19" i="8"/>
  <c r="D24" i="8"/>
  <c r="I24" i="8" s="1"/>
  <c r="I25" i="8"/>
  <c r="K25" i="8" s="1"/>
  <c r="I26" i="8"/>
  <c r="K26" i="8" s="1"/>
  <c r="I27" i="8"/>
  <c r="K27" i="8" s="1"/>
  <c r="G29" i="8"/>
  <c r="I30" i="8"/>
  <c r="K30" i="8" s="1"/>
  <c r="I32" i="8"/>
  <c r="K32" i="8" s="1"/>
  <c r="I35" i="8"/>
  <c r="K35" i="8"/>
  <c r="I36" i="8"/>
  <c r="K36" i="8"/>
  <c r="I39" i="8"/>
  <c r="I42" i="8"/>
  <c r="K42" i="8" s="1"/>
  <c r="G45" i="8"/>
  <c r="D43" i="8"/>
  <c r="I43" i="8" s="1"/>
  <c r="I44" i="8"/>
  <c r="K44" i="8" s="1"/>
  <c r="I47" i="8"/>
  <c r="K47" i="8" s="1"/>
  <c r="I49" i="8"/>
  <c r="K49" i="8" s="1"/>
  <c r="I50" i="8"/>
  <c r="K50" i="8" s="1"/>
  <c r="I51" i="8"/>
  <c r="K51" i="8" s="1"/>
  <c r="I53" i="8"/>
  <c r="K53" i="8" s="1"/>
  <c r="I54" i="8"/>
  <c r="K54" i="8" s="1"/>
  <c r="D55" i="8"/>
  <c r="I56" i="8"/>
  <c r="K56" i="8" s="1"/>
  <c r="I61" i="8"/>
  <c r="K61" i="8" s="1"/>
  <c r="D62" i="8"/>
  <c r="I62" i="8" s="1"/>
  <c r="D65" i="8"/>
  <c r="I65" i="8" s="1"/>
  <c r="K65" i="8" s="1"/>
  <c r="I58" i="8"/>
  <c r="K58" i="8" s="1"/>
  <c r="I59" i="8"/>
  <c r="K59" i="8" s="1"/>
  <c r="I63" i="8"/>
  <c r="K63" i="8" s="1"/>
  <c r="I64" i="8"/>
  <c r="K64" i="8" s="1"/>
  <c r="I66" i="8"/>
  <c r="K66" i="8" s="1"/>
  <c r="I68" i="8"/>
  <c r="K68" i="8"/>
  <c r="K70" i="8"/>
  <c r="D71" i="8"/>
  <c r="D69" i="8" s="1"/>
  <c r="I70" i="8"/>
  <c r="I72" i="8"/>
  <c r="I73" i="8"/>
  <c r="K73" i="8" s="1"/>
  <c r="I74" i="8"/>
  <c r="K74" i="8" s="1"/>
  <c r="I75" i="8"/>
  <c r="D78" i="8"/>
  <c r="D76" i="8" s="1"/>
  <c r="I76" i="8" s="1"/>
  <c r="I77" i="8"/>
  <c r="I78" i="8"/>
  <c r="I79" i="8"/>
  <c r="K79" i="8" s="1"/>
  <c r="I80" i="8"/>
  <c r="I81" i="8"/>
  <c r="K81" i="8" s="1"/>
  <c r="I82" i="8"/>
  <c r="K82" i="8" s="1"/>
  <c r="I83" i="8"/>
  <c r="I84" i="8"/>
  <c r="K84" i="8"/>
  <c r="I85" i="8"/>
  <c r="K85" i="8" s="1"/>
  <c r="K88" i="8"/>
  <c r="I89" i="8"/>
  <c r="K89" i="8" s="1"/>
  <c r="K8" i="8"/>
  <c r="K12" i="8"/>
  <c r="I14" i="8"/>
  <c r="K14" i="8" s="1"/>
  <c r="I52" i="8"/>
  <c r="K52" i="8" s="1"/>
  <c r="I8" i="7"/>
  <c r="K8" i="7" s="1"/>
  <c r="D33" i="8"/>
  <c r="I33" i="8" s="1"/>
  <c r="K33" i="8" s="1"/>
  <c r="D31" i="5"/>
  <c r="D50" i="5"/>
  <c r="D51" i="5"/>
  <c r="D59" i="5"/>
  <c r="W29" i="12"/>
  <c r="E166" i="5"/>
  <c r="H54" i="6"/>
  <c r="D16" i="6"/>
  <c r="D8" i="6" s="1"/>
  <c r="D32" i="5" s="1"/>
  <c r="D33" i="5" s="1"/>
  <c r="T57" i="12"/>
  <c r="U57" i="12"/>
  <c r="AC60" i="12"/>
  <c r="AB60" i="12"/>
  <c r="V60" i="12"/>
  <c r="W60" i="12" s="1"/>
  <c r="AE60" i="12" s="1"/>
  <c r="E73" i="6"/>
  <c r="E67" i="6" s="1"/>
  <c r="E44" i="5" s="1"/>
  <c r="AD60" i="12"/>
  <c r="C32" i="7"/>
  <c r="C122" i="6"/>
  <c r="C43" i="6"/>
  <c r="C21" i="6" s="1"/>
  <c r="C34" i="5" s="1"/>
  <c r="N80" i="11"/>
  <c r="N78" i="11" s="1"/>
  <c r="K66" i="11"/>
  <c r="F154" i="5"/>
  <c r="D154" i="5"/>
  <c r="D152" i="5" s="1"/>
  <c r="D150" i="5"/>
  <c r="D148" i="5" s="1"/>
  <c r="AB50" i="12"/>
  <c r="AC50" i="12"/>
  <c r="AB51" i="12"/>
  <c r="AB48" i="12" s="1"/>
  <c r="AC51" i="12"/>
  <c r="AB52" i="12"/>
  <c r="AC52" i="12"/>
  <c r="AB53" i="12"/>
  <c r="AC53" i="12"/>
  <c r="AE53" i="12"/>
  <c r="AB55" i="12"/>
  <c r="AC55" i="12"/>
  <c r="AB56" i="12"/>
  <c r="AC56" i="12"/>
  <c r="AB58" i="12"/>
  <c r="AC58" i="12"/>
  <c r="AB59" i="12"/>
  <c r="AC59" i="12"/>
  <c r="AB62" i="12"/>
  <c r="AC62" i="12"/>
  <c r="AC49" i="12"/>
  <c r="AB49" i="12"/>
  <c r="M56" i="11"/>
  <c r="N56" i="11"/>
  <c r="H10" i="8"/>
  <c r="G52" i="8"/>
  <c r="H42" i="7"/>
  <c r="I22" i="7"/>
  <c r="K22" i="7" s="1"/>
  <c r="I24" i="7"/>
  <c r="K24" i="7" s="1"/>
  <c r="I25" i="7"/>
  <c r="K25" i="7" s="1"/>
  <c r="I27" i="7"/>
  <c r="K27" i="7" s="1"/>
  <c r="I28" i="7"/>
  <c r="K28" i="7" s="1"/>
  <c r="I29" i="7"/>
  <c r="K29" i="7" s="1"/>
  <c r="I30" i="7"/>
  <c r="K30" i="7" s="1"/>
  <c r="I31" i="7"/>
  <c r="K31" i="7" s="1"/>
  <c r="I33" i="7"/>
  <c r="K33" i="7" s="1"/>
  <c r="I36" i="7"/>
  <c r="K36" i="7" s="1"/>
  <c r="I37" i="7"/>
  <c r="K37" i="7" s="1"/>
  <c r="I39" i="7"/>
  <c r="K39" i="7" s="1"/>
  <c r="I42" i="7"/>
  <c r="K42" i="7" s="1"/>
  <c r="I43" i="7"/>
  <c r="K43" i="7" s="1"/>
  <c r="I44" i="7"/>
  <c r="K44" i="7" s="1"/>
  <c r="I46" i="7"/>
  <c r="K46" i="7" s="1"/>
  <c r="I47" i="7"/>
  <c r="K47" i="7" s="1"/>
  <c r="I49" i="7"/>
  <c r="K49" i="7" s="1"/>
  <c r="I51" i="7"/>
  <c r="K51" i="7" s="1"/>
  <c r="I10" i="7"/>
  <c r="K10" i="7" s="1"/>
  <c r="I11" i="7"/>
  <c r="K11" i="7" s="1"/>
  <c r="I12" i="7"/>
  <c r="K12" i="7" s="1"/>
  <c r="I13" i="7"/>
  <c r="K13" i="7" s="1"/>
  <c r="I14" i="7"/>
  <c r="K14" i="7" s="1"/>
  <c r="I15" i="7"/>
  <c r="K15" i="7" s="1"/>
  <c r="I16" i="7"/>
  <c r="K16" i="7" s="1"/>
  <c r="I17" i="7"/>
  <c r="K17" i="7" s="1"/>
  <c r="I19" i="7"/>
  <c r="K19" i="7" s="1"/>
  <c r="I20" i="7"/>
  <c r="K20" i="7" s="1"/>
  <c r="I40" i="7"/>
  <c r="K40" i="7" s="1"/>
  <c r="K26" i="7"/>
  <c r="E21" i="10"/>
  <c r="G21" i="10" s="1"/>
  <c r="C60" i="8"/>
  <c r="G49" i="8"/>
  <c r="G51" i="8"/>
  <c r="G53" i="8"/>
  <c r="N34" i="11"/>
  <c r="N36" i="11"/>
  <c r="L36" i="11"/>
  <c r="L34" i="11"/>
  <c r="F165" i="5"/>
  <c r="E165" i="5"/>
  <c r="G165" i="5" s="1"/>
  <c r="AD47" i="12"/>
  <c r="AC46" i="12"/>
  <c r="AD46" i="12"/>
  <c r="U48" i="12"/>
  <c r="AC23" i="12"/>
  <c r="AC25" i="12"/>
  <c r="AC28" i="12"/>
  <c r="Z26" i="12"/>
  <c r="F168" i="5"/>
  <c r="H168" i="5" s="1"/>
  <c r="F166" i="5"/>
  <c r="J18" i="11"/>
  <c r="AN38" i="11"/>
  <c r="J24" i="11"/>
  <c r="J30" i="11" s="1"/>
  <c r="F164" i="5" s="1"/>
  <c r="H24" i="11"/>
  <c r="H18" i="11"/>
  <c r="J12" i="11"/>
  <c r="H12" i="11"/>
  <c r="H61" i="8"/>
  <c r="F54" i="5"/>
  <c r="F21" i="6"/>
  <c r="F8" i="6"/>
  <c r="F93" i="5"/>
  <c r="D45" i="7"/>
  <c r="I45" i="7" s="1"/>
  <c r="K45" i="7" s="1"/>
  <c r="P29" i="12"/>
  <c r="C108" i="6"/>
  <c r="C109" i="6"/>
  <c r="C110" i="6"/>
  <c r="C111" i="6"/>
  <c r="C112" i="6"/>
  <c r="F159" i="5"/>
  <c r="F160" i="5"/>
  <c r="F161" i="5"/>
  <c r="F162" i="5"/>
  <c r="H162" i="5" s="1"/>
  <c r="F158" i="5"/>
  <c r="E159" i="5"/>
  <c r="G159" i="5"/>
  <c r="E160" i="5"/>
  <c r="H160" i="5" s="1"/>
  <c r="E161" i="5"/>
  <c r="E162" i="5"/>
  <c r="E158" i="5"/>
  <c r="E143" i="5"/>
  <c r="L31" i="11"/>
  <c r="L25" i="11"/>
  <c r="L26" i="11"/>
  <c r="N26" i="11"/>
  <c r="L19" i="11"/>
  <c r="L20" i="11"/>
  <c r="N20" i="11"/>
  <c r="L13" i="11"/>
  <c r="L14" i="11"/>
  <c r="N14" i="11"/>
  <c r="C78" i="8"/>
  <c r="C76" i="8" s="1"/>
  <c r="G84" i="8"/>
  <c r="E60" i="8"/>
  <c r="C55" i="8"/>
  <c r="C48" i="8" s="1"/>
  <c r="C43" i="8"/>
  <c r="C20" i="8" s="1"/>
  <c r="C37" i="8"/>
  <c r="C34" i="8"/>
  <c r="C28" i="8" s="1"/>
  <c r="C17" i="8"/>
  <c r="N32" i="11"/>
  <c r="H159" i="5"/>
  <c r="G36" i="8"/>
  <c r="G23" i="8"/>
  <c r="D74" i="5"/>
  <c r="E163" i="5"/>
  <c r="F121" i="5"/>
  <c r="E121" i="5"/>
  <c r="G121" i="5" s="1"/>
  <c r="F120" i="5"/>
  <c r="G120" i="5" s="1"/>
  <c r="E120" i="5"/>
  <c r="F103" i="5"/>
  <c r="E103" i="5"/>
  <c r="E154" i="5"/>
  <c r="G154" i="5" s="1"/>
  <c r="J78" i="11"/>
  <c r="D75" i="11"/>
  <c r="V56" i="12"/>
  <c r="AD56" i="12" s="1"/>
  <c r="W56" i="12"/>
  <c r="AE56" i="12" s="1"/>
  <c r="V58" i="12"/>
  <c r="V59" i="12"/>
  <c r="V62" i="12"/>
  <c r="W62" i="12" s="1"/>
  <c r="AE62" i="12" s="1"/>
  <c r="AB57" i="12"/>
  <c r="T61" i="12"/>
  <c r="AB61" i="12" s="1"/>
  <c r="U61" i="12"/>
  <c r="AC61" i="12" s="1"/>
  <c r="G66" i="8"/>
  <c r="G8" i="8"/>
  <c r="E38" i="8"/>
  <c r="E39" i="8"/>
  <c r="G39" i="8" s="1"/>
  <c r="E40" i="8"/>
  <c r="H40" i="8" s="1"/>
  <c r="E24" i="8"/>
  <c r="H24" i="8" s="1"/>
  <c r="G42" i="7"/>
  <c r="G10" i="7"/>
  <c r="G11" i="7"/>
  <c r="G12" i="7"/>
  <c r="G13" i="7"/>
  <c r="G14" i="7"/>
  <c r="G15" i="7"/>
  <c r="G16" i="7"/>
  <c r="G17" i="7"/>
  <c r="G19" i="7"/>
  <c r="G20" i="7"/>
  <c r="G10" i="6"/>
  <c r="H10" i="6"/>
  <c r="G11" i="6"/>
  <c r="H11" i="6"/>
  <c r="G12" i="6"/>
  <c r="H12" i="6"/>
  <c r="G13" i="6"/>
  <c r="H13" i="6"/>
  <c r="G14" i="6"/>
  <c r="H14" i="6"/>
  <c r="G15" i="6"/>
  <c r="H15" i="6"/>
  <c r="G17" i="6"/>
  <c r="H17" i="6"/>
  <c r="G18" i="6"/>
  <c r="H18" i="6"/>
  <c r="G19" i="6"/>
  <c r="G22" i="6"/>
  <c r="H22" i="6"/>
  <c r="G23" i="6"/>
  <c r="G24" i="6"/>
  <c r="G25" i="6"/>
  <c r="H25" i="6"/>
  <c r="G26" i="6"/>
  <c r="G27" i="6"/>
  <c r="H27" i="6"/>
  <c r="G28" i="6"/>
  <c r="H28" i="6"/>
  <c r="G29" i="6"/>
  <c r="H29" i="6"/>
  <c r="G30" i="6"/>
  <c r="H30" i="6"/>
  <c r="G31" i="6"/>
  <c r="H31" i="6"/>
  <c r="G32" i="6"/>
  <c r="G33" i="6"/>
  <c r="G34" i="6"/>
  <c r="G35" i="6"/>
  <c r="G36" i="6"/>
  <c r="H36" i="6"/>
  <c r="G37" i="6"/>
  <c r="H37" i="6"/>
  <c r="G38" i="6"/>
  <c r="G39" i="6"/>
  <c r="G40" i="6"/>
  <c r="H40" i="6"/>
  <c r="G41" i="6"/>
  <c r="H41" i="6"/>
  <c r="G42" i="6"/>
  <c r="H42" i="6"/>
  <c r="G44" i="6"/>
  <c r="H44" i="6"/>
  <c r="G45" i="6"/>
  <c r="H45" i="6"/>
  <c r="G46" i="6"/>
  <c r="H46" i="6"/>
  <c r="G47" i="6"/>
  <c r="H47" i="6"/>
  <c r="G50" i="6"/>
  <c r="G51" i="6"/>
  <c r="G52" i="6"/>
  <c r="H52" i="6"/>
  <c r="G53" i="6"/>
  <c r="H53" i="6"/>
  <c r="G54" i="6"/>
  <c r="G55" i="6"/>
  <c r="G59" i="6"/>
  <c r="G60" i="6"/>
  <c r="G62" i="6"/>
  <c r="H62" i="6"/>
  <c r="G63" i="6"/>
  <c r="H63" i="6"/>
  <c r="G64" i="6"/>
  <c r="G65" i="6"/>
  <c r="G66" i="6"/>
  <c r="H66" i="6"/>
  <c r="G68" i="6"/>
  <c r="G69" i="6"/>
  <c r="G70" i="6"/>
  <c r="G71" i="6"/>
  <c r="G72" i="6"/>
  <c r="G74" i="6"/>
  <c r="H74" i="6"/>
  <c r="G75" i="6"/>
  <c r="H75" i="6"/>
  <c r="G76" i="6"/>
  <c r="H76" i="6"/>
  <c r="G77" i="6"/>
  <c r="G78" i="6"/>
  <c r="G80" i="6"/>
  <c r="G81" i="6"/>
  <c r="G83" i="6"/>
  <c r="G84" i="6"/>
  <c r="G86" i="6"/>
  <c r="H86" i="6"/>
  <c r="G88" i="6"/>
  <c r="G90" i="6"/>
  <c r="H90" i="6"/>
  <c r="G92" i="6"/>
  <c r="H94" i="6"/>
  <c r="G96" i="6"/>
  <c r="G97" i="6"/>
  <c r="G98" i="6"/>
  <c r="G99" i="6"/>
  <c r="G105" i="6"/>
  <c r="G94" i="6"/>
  <c r="H57" i="6"/>
  <c r="G48" i="6"/>
  <c r="H78" i="6"/>
  <c r="H19" i="6"/>
  <c r="H10" i="9"/>
  <c r="H33" i="7"/>
  <c r="L78" i="11"/>
  <c r="D78" i="11"/>
  <c r="D81" i="11" s="1"/>
  <c r="G31" i="8"/>
  <c r="H32" i="7"/>
  <c r="F53" i="5"/>
  <c r="E149" i="5"/>
  <c r="N77" i="11"/>
  <c r="N75" i="11" s="1"/>
  <c r="E61" i="6"/>
  <c r="E58" i="6" s="1"/>
  <c r="E41" i="5" s="1"/>
  <c r="C93" i="6"/>
  <c r="C91" i="6" s="1"/>
  <c r="C56" i="5" s="1"/>
  <c r="C89" i="6"/>
  <c r="C87" i="6"/>
  <c r="C54" i="5" s="1"/>
  <c r="C85" i="6"/>
  <c r="C53" i="5" s="1"/>
  <c r="C82" i="6"/>
  <c r="C52" i="5" s="1"/>
  <c r="C73" i="6"/>
  <c r="C67" i="6" s="1"/>
  <c r="C44" i="5" s="1"/>
  <c r="C61" i="6"/>
  <c r="C58" i="6" s="1"/>
  <c r="C41" i="5" s="1"/>
  <c r="C56" i="6"/>
  <c r="C49" i="6" s="1"/>
  <c r="C40" i="5" s="1"/>
  <c r="C8" i="6"/>
  <c r="F163" i="5"/>
  <c r="H163" i="5" s="1"/>
  <c r="H21" i="8"/>
  <c r="G12" i="8"/>
  <c r="D32" i="7"/>
  <c r="D143" i="5"/>
  <c r="C143" i="5"/>
  <c r="T64" i="11"/>
  <c r="U64" i="11"/>
  <c r="T65" i="11"/>
  <c r="U65" i="11"/>
  <c r="T66" i="11"/>
  <c r="T67" i="11"/>
  <c r="U63" i="11"/>
  <c r="T63" i="11"/>
  <c r="T55" i="11"/>
  <c r="U55" i="11"/>
  <c r="T56" i="11"/>
  <c r="U56" i="11"/>
  <c r="T57" i="11"/>
  <c r="U57" i="11"/>
  <c r="T58" i="11"/>
  <c r="U58" i="11"/>
  <c r="U59" i="11"/>
  <c r="U54" i="11"/>
  <c r="T54" i="11"/>
  <c r="AC59" i="11"/>
  <c r="AA59" i="11"/>
  <c r="Y59" i="11"/>
  <c r="W59" i="11"/>
  <c r="E169" i="5"/>
  <c r="E168" i="5"/>
  <c r="E167" i="5"/>
  <c r="V21" i="11"/>
  <c r="V22" i="11"/>
  <c r="V23" i="11"/>
  <c r="V24" i="11"/>
  <c r="V27" i="11"/>
  <c r="V28" i="11"/>
  <c r="V29" i="11"/>
  <c r="V18" i="11"/>
  <c r="T21" i="11"/>
  <c r="T23" i="11"/>
  <c r="T27" i="11"/>
  <c r="T28" i="11"/>
  <c r="T29" i="11"/>
  <c r="Z25" i="12"/>
  <c r="F78" i="11"/>
  <c r="E56" i="6"/>
  <c r="V49" i="12"/>
  <c r="AD49" i="12" s="1"/>
  <c r="W49" i="12"/>
  <c r="AE49" i="12" s="1"/>
  <c r="V50" i="12"/>
  <c r="AD50" i="12" s="1"/>
  <c r="W50" i="12"/>
  <c r="AE50" i="12" s="1"/>
  <c r="V51" i="12"/>
  <c r="AD51" i="12" s="1"/>
  <c r="W51" i="12"/>
  <c r="AE51" i="12" s="1"/>
  <c r="V52" i="12"/>
  <c r="AD52" i="12" s="1"/>
  <c r="W52" i="12"/>
  <c r="AE52" i="12" s="1"/>
  <c r="V53" i="12"/>
  <c r="AD53" i="12" s="1"/>
  <c r="V55" i="12"/>
  <c r="AD55" i="12" s="1"/>
  <c r="W55" i="12"/>
  <c r="AE55" i="12" s="1"/>
  <c r="T54" i="12"/>
  <c r="AB54" i="12" s="1"/>
  <c r="E108" i="6"/>
  <c r="G108" i="6" s="1"/>
  <c r="D121" i="5"/>
  <c r="D6" i="9"/>
  <c r="D119" i="5"/>
  <c r="U54" i="12"/>
  <c r="W54" i="12" s="1"/>
  <c r="AE54" i="12" s="1"/>
  <c r="T48" i="12"/>
  <c r="V47" i="12"/>
  <c r="U46" i="12"/>
  <c r="T29" i="12"/>
  <c r="Z29" i="12" s="1"/>
  <c r="Z28" i="12"/>
  <c r="Z24" i="12"/>
  <c r="Z23" i="12"/>
  <c r="Z22" i="12"/>
  <c r="AC21" i="12"/>
  <c r="Z21" i="12"/>
  <c r="AC20" i="12"/>
  <c r="Z20" i="12"/>
  <c r="Z19" i="12"/>
  <c r="AC18" i="12"/>
  <c r="Z18" i="12"/>
  <c r="AC17" i="12"/>
  <c r="Z17" i="12"/>
  <c r="AC16" i="12"/>
  <c r="Z16" i="12"/>
  <c r="AC15" i="12"/>
  <c r="Z15" i="12"/>
  <c r="AC14" i="12"/>
  <c r="Z14" i="12"/>
  <c r="AC13" i="12"/>
  <c r="Z13" i="12"/>
  <c r="AC12" i="12"/>
  <c r="Z12" i="12"/>
  <c r="AC11" i="12"/>
  <c r="Z11" i="12"/>
  <c r="AC10" i="12"/>
  <c r="Z10" i="12"/>
  <c r="AC9" i="12"/>
  <c r="Z9" i="12"/>
  <c r="AC8" i="12"/>
  <c r="Z8" i="12"/>
  <c r="AC7" i="12"/>
  <c r="Z7" i="12"/>
  <c r="E155" i="5"/>
  <c r="G155" i="5" s="1"/>
  <c r="H78" i="11"/>
  <c r="L75" i="11"/>
  <c r="J75" i="11"/>
  <c r="H75" i="11"/>
  <c r="F75" i="11"/>
  <c r="G59" i="11"/>
  <c r="D59" i="11"/>
  <c r="M58" i="11"/>
  <c r="J58" i="11"/>
  <c r="M57" i="11"/>
  <c r="J57" i="11"/>
  <c r="K56" i="11"/>
  <c r="J56" i="11"/>
  <c r="N55" i="11"/>
  <c r="M55" i="11"/>
  <c r="K55" i="11"/>
  <c r="J55" i="11"/>
  <c r="N54" i="11"/>
  <c r="M54" i="11"/>
  <c r="K54" i="11"/>
  <c r="J54" i="11"/>
  <c r="N29" i="11"/>
  <c r="L29" i="11"/>
  <c r="N28" i="11"/>
  <c r="N27" i="11"/>
  <c r="L27" i="11"/>
  <c r="F24" i="11"/>
  <c r="N23" i="11"/>
  <c r="L23" i="11"/>
  <c r="N22" i="11"/>
  <c r="N21" i="11"/>
  <c r="L21" i="11"/>
  <c r="F18" i="11"/>
  <c r="N17" i="11"/>
  <c r="L17" i="11"/>
  <c r="N16" i="11"/>
  <c r="L16" i="11"/>
  <c r="N15" i="11"/>
  <c r="L15" i="11"/>
  <c r="F12" i="11"/>
  <c r="G19" i="10"/>
  <c r="E19" i="10"/>
  <c r="D19" i="10"/>
  <c r="F19" i="10" s="1"/>
  <c r="G15" i="10"/>
  <c r="E15" i="10"/>
  <c r="D15" i="10"/>
  <c r="F15" i="10" s="1"/>
  <c r="G14" i="10"/>
  <c r="E14" i="10"/>
  <c r="D14" i="10"/>
  <c r="F14" i="10" s="1"/>
  <c r="G12" i="9"/>
  <c r="G11" i="9"/>
  <c r="G10" i="9"/>
  <c r="G9" i="9"/>
  <c r="H8" i="9"/>
  <c r="G8" i="9"/>
  <c r="G7" i="9"/>
  <c r="E6" i="9"/>
  <c r="E115" i="5" s="1"/>
  <c r="C6" i="9"/>
  <c r="C125" i="5" s="1"/>
  <c r="E3" i="9"/>
  <c r="H88" i="8"/>
  <c r="G88" i="8"/>
  <c r="E78" i="8"/>
  <c r="E76" i="8" s="1"/>
  <c r="G76" i="8" s="1"/>
  <c r="E71" i="8"/>
  <c r="E69" i="8"/>
  <c r="E86" i="8" s="1"/>
  <c r="E111" i="5" s="1"/>
  <c r="C71" i="8"/>
  <c r="C69" i="8" s="1"/>
  <c r="E65" i="8"/>
  <c r="C65" i="8"/>
  <c r="C57" i="8" s="1"/>
  <c r="G64" i="8"/>
  <c r="E58" i="8"/>
  <c r="G56" i="8"/>
  <c r="G44" i="8"/>
  <c r="E43" i="8"/>
  <c r="G42" i="8"/>
  <c r="G35" i="8"/>
  <c r="G34" i="8"/>
  <c r="G32" i="8"/>
  <c r="G30" i="8"/>
  <c r="G27" i="8"/>
  <c r="G26" i="8"/>
  <c r="G25" i="8"/>
  <c r="C24" i="8"/>
  <c r="H22" i="8"/>
  <c r="E17" i="8"/>
  <c r="E7" i="8" s="1"/>
  <c r="G16" i="8"/>
  <c r="G15" i="8"/>
  <c r="E13" i="8"/>
  <c r="H13" i="8" s="1"/>
  <c r="D13" i="8"/>
  <c r="I13" i="8" s="1"/>
  <c r="K13" i="8" s="1"/>
  <c r="C13" i="8"/>
  <c r="C7" i="8" s="1"/>
  <c r="G11" i="8"/>
  <c r="E3" i="8"/>
  <c r="G51" i="7"/>
  <c r="E50" i="7"/>
  <c r="D50" i="7"/>
  <c r="C50" i="7"/>
  <c r="C48" i="7" s="1"/>
  <c r="G49" i="7"/>
  <c r="E45" i="7"/>
  <c r="E41" i="7" s="1"/>
  <c r="C45" i="7"/>
  <c r="C41" i="7" s="1"/>
  <c r="C102" i="5" s="1"/>
  <c r="H44" i="7"/>
  <c r="G43" i="7"/>
  <c r="G40" i="7"/>
  <c r="H39" i="7"/>
  <c r="E34" i="7"/>
  <c r="D38" i="7"/>
  <c r="I38" i="7" s="1"/>
  <c r="K38" i="7" s="1"/>
  <c r="G37" i="7"/>
  <c r="H36" i="7"/>
  <c r="H35" i="7"/>
  <c r="C34" i="7"/>
  <c r="C101" i="5" s="1"/>
  <c r="G33" i="7"/>
  <c r="C23" i="7"/>
  <c r="C93" i="5" s="1"/>
  <c r="G31" i="7"/>
  <c r="G30" i="7"/>
  <c r="G29" i="7"/>
  <c r="G28" i="7"/>
  <c r="G27" i="7"/>
  <c r="G26" i="7"/>
  <c r="G25" i="7"/>
  <c r="H25" i="7" s="1"/>
  <c r="G24" i="7"/>
  <c r="E93" i="5"/>
  <c r="E18" i="7"/>
  <c r="E90" i="5" s="1"/>
  <c r="D18" i="7"/>
  <c r="I18" i="7" s="1"/>
  <c r="C18" i="7"/>
  <c r="C90" i="5" s="1"/>
  <c r="D9" i="7"/>
  <c r="I9" i="7" s="1"/>
  <c r="H8" i="7"/>
  <c r="G8" i="7"/>
  <c r="E3" i="7"/>
  <c r="E122" i="6"/>
  <c r="G122" i="6" s="1"/>
  <c r="D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F112" i="6"/>
  <c r="G112" i="6" s="1"/>
  <c r="E112" i="6"/>
  <c r="D112" i="6"/>
  <c r="F111" i="6"/>
  <c r="G111" i="6" s="1"/>
  <c r="E111" i="6"/>
  <c r="D111" i="6"/>
  <c r="F110" i="6"/>
  <c r="G110" i="6" s="1"/>
  <c r="E110" i="6"/>
  <c r="D110" i="6"/>
  <c r="F109" i="6"/>
  <c r="E109" i="6"/>
  <c r="D109" i="6"/>
  <c r="F108" i="6"/>
  <c r="D108" i="6"/>
  <c r="E93" i="6"/>
  <c r="E91" i="6" s="1"/>
  <c r="D93" i="6"/>
  <c r="D91" i="6" s="1"/>
  <c r="D56" i="5" s="1"/>
  <c r="E89" i="6"/>
  <c r="G89" i="6" s="1"/>
  <c r="D89" i="6"/>
  <c r="D87" i="6" s="1"/>
  <c r="D54" i="5" s="1"/>
  <c r="E85" i="6"/>
  <c r="E53" i="5" s="1"/>
  <c r="D85" i="6"/>
  <c r="D53" i="5" s="1"/>
  <c r="E82" i="6"/>
  <c r="H82" i="6" s="1"/>
  <c r="D82" i="6"/>
  <c r="D52" i="5" s="1"/>
  <c r="D73" i="6"/>
  <c r="D67" i="6" s="1"/>
  <c r="D44" i="5" s="1"/>
  <c r="D61" i="6"/>
  <c r="D58" i="6"/>
  <c r="D41" i="5" s="1"/>
  <c r="D56" i="6"/>
  <c r="D49" i="6" s="1"/>
  <c r="D40" i="5" s="1"/>
  <c r="E49" i="6"/>
  <c r="E40" i="5" s="1"/>
  <c r="E21" i="6"/>
  <c r="E34" i="5" s="1"/>
  <c r="D43" i="6"/>
  <c r="D21" i="6" s="1"/>
  <c r="C31" i="5"/>
  <c r="H9" i="6"/>
  <c r="G9" i="6"/>
  <c r="H7" i="6"/>
  <c r="G7" i="6"/>
  <c r="E3" i="6"/>
  <c r="G153" i="5"/>
  <c r="F152" i="5"/>
  <c r="C152" i="5"/>
  <c r="G151" i="5"/>
  <c r="C148" i="5"/>
  <c r="D132" i="5"/>
  <c r="C132" i="5"/>
  <c r="D131" i="5"/>
  <c r="C131" i="5"/>
  <c r="G126" i="5"/>
  <c r="G124" i="5"/>
  <c r="G123" i="5"/>
  <c r="C121" i="5"/>
  <c r="D120" i="5"/>
  <c r="C120" i="5"/>
  <c r="F119" i="5"/>
  <c r="E119" i="5"/>
  <c r="C119" i="5"/>
  <c r="F118" i="5"/>
  <c r="E118" i="5"/>
  <c r="D118" i="5"/>
  <c r="C118" i="5"/>
  <c r="F117" i="5"/>
  <c r="E117" i="5"/>
  <c r="H117" i="5" s="1"/>
  <c r="C117" i="5"/>
  <c r="F116" i="5"/>
  <c r="G116" i="5" s="1"/>
  <c r="E116" i="5"/>
  <c r="D116" i="5"/>
  <c r="C116" i="5"/>
  <c r="E112" i="5"/>
  <c r="D112" i="5"/>
  <c r="C112" i="5"/>
  <c r="E108" i="5"/>
  <c r="D108" i="5"/>
  <c r="C108" i="5"/>
  <c r="F107" i="5"/>
  <c r="E107" i="5"/>
  <c r="D107" i="5"/>
  <c r="C107" i="5"/>
  <c r="E104" i="5"/>
  <c r="H104" i="5" s="1"/>
  <c r="D104" i="5"/>
  <c r="C104" i="5"/>
  <c r="D103" i="5"/>
  <c r="C103" i="5"/>
  <c r="E100" i="5"/>
  <c r="D100" i="5"/>
  <c r="C100" i="5"/>
  <c r="F99" i="5"/>
  <c r="G99" i="5" s="1"/>
  <c r="E99" i="5"/>
  <c r="D99" i="5"/>
  <c r="C99" i="5"/>
  <c r="E98" i="5"/>
  <c r="D98" i="5"/>
  <c r="C98" i="5"/>
  <c r="F97" i="5"/>
  <c r="E97" i="5"/>
  <c r="D97" i="5"/>
  <c r="C97" i="5"/>
  <c r="E96" i="5"/>
  <c r="D96" i="5"/>
  <c r="C96" i="5"/>
  <c r="F95" i="5"/>
  <c r="E95" i="5"/>
  <c r="D95" i="5"/>
  <c r="C95" i="5"/>
  <c r="E94" i="5"/>
  <c r="D94" i="5"/>
  <c r="C94" i="5"/>
  <c r="F90" i="5"/>
  <c r="F89" i="5"/>
  <c r="E89" i="5"/>
  <c r="D89" i="5"/>
  <c r="C89" i="5"/>
  <c r="F88" i="5"/>
  <c r="E88" i="5"/>
  <c r="G88" i="5"/>
  <c r="D88" i="5"/>
  <c r="C88" i="5"/>
  <c r="F87" i="5"/>
  <c r="E87" i="5"/>
  <c r="G87" i="5" s="1"/>
  <c r="D87" i="5"/>
  <c r="C87" i="5"/>
  <c r="F86" i="5"/>
  <c r="E86" i="5"/>
  <c r="G86" i="5" s="1"/>
  <c r="D86" i="5"/>
  <c r="C86" i="5"/>
  <c r="F85" i="5"/>
  <c r="E85" i="5"/>
  <c r="D85" i="5"/>
  <c r="C85" i="5"/>
  <c r="F84" i="5"/>
  <c r="G84" i="5" s="1"/>
  <c r="E84" i="5"/>
  <c r="D84" i="5"/>
  <c r="C84" i="5"/>
  <c r="F83" i="5"/>
  <c r="E83" i="5"/>
  <c r="G83" i="5" s="1"/>
  <c r="D83" i="5"/>
  <c r="C83" i="5"/>
  <c r="F82" i="5"/>
  <c r="C82" i="5"/>
  <c r="F80" i="5"/>
  <c r="E80" i="5"/>
  <c r="D80" i="5"/>
  <c r="C80" i="5"/>
  <c r="F76" i="5"/>
  <c r="E76" i="5"/>
  <c r="D76" i="5"/>
  <c r="C76" i="5"/>
  <c r="F75" i="5"/>
  <c r="F70" i="5"/>
  <c r="E70" i="5"/>
  <c r="F73" i="5"/>
  <c r="F77" i="5" s="1"/>
  <c r="F74" i="5"/>
  <c r="E75" i="5"/>
  <c r="D75" i="5"/>
  <c r="C75" i="5"/>
  <c r="E74" i="5"/>
  <c r="C74" i="5"/>
  <c r="E73" i="5"/>
  <c r="D73" i="5"/>
  <c r="C73" i="5"/>
  <c r="C70" i="5"/>
  <c r="F72" i="5"/>
  <c r="E72" i="5"/>
  <c r="D72" i="5"/>
  <c r="C72" i="5"/>
  <c r="F71" i="5"/>
  <c r="E71" i="5"/>
  <c r="H71" i="5" s="1"/>
  <c r="D71" i="5"/>
  <c r="C71" i="5"/>
  <c r="D70" i="5"/>
  <c r="F68" i="5"/>
  <c r="G68" i="5" s="1"/>
  <c r="E68" i="5"/>
  <c r="D68" i="5"/>
  <c r="C68" i="5"/>
  <c r="F62" i="5"/>
  <c r="E62" i="5"/>
  <c r="D62" i="5"/>
  <c r="C62" i="5"/>
  <c r="F61" i="5"/>
  <c r="E61" i="5"/>
  <c r="D61" i="5"/>
  <c r="C61" i="5"/>
  <c r="F60" i="5"/>
  <c r="G60" i="5" s="1"/>
  <c r="E60" i="5"/>
  <c r="D60" i="5"/>
  <c r="C60" i="5"/>
  <c r="F59" i="5"/>
  <c r="E59" i="5"/>
  <c r="C59" i="5"/>
  <c r="F57" i="5"/>
  <c r="G57" i="5" s="1"/>
  <c r="E57" i="5"/>
  <c r="D57" i="5"/>
  <c r="C57" i="5"/>
  <c r="F55" i="5"/>
  <c r="G55" i="5" s="1"/>
  <c r="E55" i="5"/>
  <c r="D55" i="5"/>
  <c r="C55" i="5"/>
  <c r="F52" i="5"/>
  <c r="F51" i="5"/>
  <c r="E51" i="5"/>
  <c r="C51" i="5"/>
  <c r="F50" i="5"/>
  <c r="E50" i="5"/>
  <c r="G50" i="5"/>
  <c r="C50" i="5"/>
  <c r="F46" i="5"/>
  <c r="E46" i="5"/>
  <c r="G46" i="5"/>
  <c r="D46" i="5"/>
  <c r="C46" i="5"/>
  <c r="F45" i="5"/>
  <c r="E45" i="5"/>
  <c r="D45" i="5"/>
  <c r="C45" i="5"/>
  <c r="F43" i="5"/>
  <c r="E43" i="5"/>
  <c r="D43" i="5"/>
  <c r="C43" i="5"/>
  <c r="F42" i="5"/>
  <c r="E42" i="5"/>
  <c r="D42" i="5"/>
  <c r="C42" i="5"/>
  <c r="F39" i="5"/>
  <c r="E39" i="5"/>
  <c r="G39" i="5" s="1"/>
  <c r="D39" i="5"/>
  <c r="C39" i="5"/>
  <c r="F38" i="5"/>
  <c r="E38" i="5"/>
  <c r="D38" i="5"/>
  <c r="C38" i="5"/>
  <c r="F37" i="5"/>
  <c r="E37" i="5"/>
  <c r="D37" i="5"/>
  <c r="C37" i="5"/>
  <c r="F36" i="5"/>
  <c r="E36" i="5"/>
  <c r="G36" i="5"/>
  <c r="D36" i="5"/>
  <c r="C36" i="5"/>
  <c r="F35" i="5"/>
  <c r="E35" i="5"/>
  <c r="G35" i="5" s="1"/>
  <c r="D35" i="5"/>
  <c r="C35" i="5"/>
  <c r="F31" i="5"/>
  <c r="E31" i="5"/>
  <c r="F104" i="5"/>
  <c r="L37" i="11"/>
  <c r="H119" i="5"/>
  <c r="G10" i="8"/>
  <c r="G32" i="7"/>
  <c r="F115" i="5"/>
  <c r="G17" i="10" s="1"/>
  <c r="F125" i="5"/>
  <c r="F122" i="5" s="1"/>
  <c r="G18" i="10" s="1"/>
  <c r="N37" i="11"/>
  <c r="H8" i="8"/>
  <c r="G44" i="7"/>
  <c r="G36" i="7"/>
  <c r="G39" i="7"/>
  <c r="H40" i="7"/>
  <c r="G35" i="7"/>
  <c r="H26" i="7"/>
  <c r="F94" i="5"/>
  <c r="E20" i="6"/>
  <c r="F96" i="5"/>
  <c r="H96" i="5" s="1"/>
  <c r="F98" i="5"/>
  <c r="G98" i="5" s="1"/>
  <c r="F100" i="5"/>
  <c r="G100" i="5" s="1"/>
  <c r="H122" i="6"/>
  <c r="E87" i="6"/>
  <c r="E54" i="5" s="1"/>
  <c r="T33" i="11"/>
  <c r="G9" i="8"/>
  <c r="G21" i="8"/>
  <c r="V46" i="12"/>
  <c r="T38" i="11"/>
  <c r="F108" i="5"/>
  <c r="G108" i="5" s="1"/>
  <c r="L38" i="11"/>
  <c r="T37" i="11"/>
  <c r="G22" i="8"/>
  <c r="G73" i="6"/>
  <c r="G14" i="8"/>
  <c r="H31" i="7"/>
  <c r="G43" i="6"/>
  <c r="E57" i="8"/>
  <c r="E67" i="8" s="1"/>
  <c r="E110" i="5" s="1"/>
  <c r="G77" i="8"/>
  <c r="V61" i="12"/>
  <c r="W61" i="12" s="1"/>
  <c r="AE61" i="12" s="1"/>
  <c r="T59" i="11"/>
  <c r="G13" i="8"/>
  <c r="E82" i="5"/>
  <c r="D82" i="5"/>
  <c r="G61" i="5"/>
  <c r="H72" i="5"/>
  <c r="G74" i="5"/>
  <c r="G95" i="5"/>
  <c r="E152" i="5"/>
  <c r="F112" i="5"/>
  <c r="H63" i="8"/>
  <c r="G63" i="8"/>
  <c r="G18" i="8"/>
  <c r="H41" i="8"/>
  <c r="G41" i="8"/>
  <c r="G19" i="8"/>
  <c r="G33" i="8"/>
  <c r="G45" i="7"/>
  <c r="G9" i="7"/>
  <c r="G38" i="8"/>
  <c r="G80" i="5"/>
  <c r="G82" i="6"/>
  <c r="E52" i="5"/>
  <c r="G52" i="5" s="1"/>
  <c r="G149" i="5"/>
  <c r="H43" i="6"/>
  <c r="E48" i="7"/>
  <c r="G50" i="7"/>
  <c r="F157" i="5"/>
  <c r="L12" i="11"/>
  <c r="G61" i="8"/>
  <c r="F167" i="5"/>
  <c r="G167" i="5" s="1"/>
  <c r="L33" i="11"/>
  <c r="N33" i="11"/>
  <c r="G56" i="6"/>
  <c r="H16" i="6"/>
  <c r="H89" i="6"/>
  <c r="G18" i="7"/>
  <c r="G57" i="6"/>
  <c r="H48" i="6"/>
  <c r="D117" i="5"/>
  <c r="T22" i="11"/>
  <c r="L22" i="11"/>
  <c r="L28" i="11"/>
  <c r="G65" i="8"/>
  <c r="G62" i="8"/>
  <c r="G48" i="7"/>
  <c r="F56" i="5"/>
  <c r="T24" i="11"/>
  <c r="L18" i="11"/>
  <c r="G59" i="8"/>
  <c r="G58" i="8"/>
  <c r="G70" i="8"/>
  <c r="G73" i="8"/>
  <c r="G75" i="8"/>
  <c r="G79" i="8"/>
  <c r="G81" i="8"/>
  <c r="G85" i="8"/>
  <c r="H9" i="8"/>
  <c r="G72" i="8"/>
  <c r="G74" i="8"/>
  <c r="G80" i="8"/>
  <c r="G82" i="8"/>
  <c r="G89" i="8"/>
  <c r="G83" i="8"/>
  <c r="F102" i="5"/>
  <c r="H23" i="7"/>
  <c r="G85" i="5"/>
  <c r="H23" i="8"/>
  <c r="H76" i="5"/>
  <c r="G71" i="5"/>
  <c r="H19" i="8"/>
  <c r="H18" i="8"/>
  <c r="H31" i="5"/>
  <c r="AD62" i="12"/>
  <c r="W58" i="12"/>
  <c r="AE58" i="12" s="1"/>
  <c r="AD58" i="12"/>
  <c r="AC57" i="12"/>
  <c r="W59" i="12"/>
  <c r="AE59" i="12" s="1"/>
  <c r="AD59" i="12"/>
  <c r="H74" i="5"/>
  <c r="G112" i="5"/>
  <c r="G76" i="5"/>
  <c r="G96" i="5"/>
  <c r="G94" i="5"/>
  <c r="G90" i="5"/>
  <c r="G118" i="5"/>
  <c r="D41" i="7"/>
  <c r="D102" i="5" s="1"/>
  <c r="D23" i="7"/>
  <c r="I23" i="7" s="1"/>
  <c r="I32" i="7"/>
  <c r="K32" i="7" s="1"/>
  <c r="H33" i="8"/>
  <c r="D48" i="7"/>
  <c r="D41" i="8" s="1"/>
  <c r="I50" i="7"/>
  <c r="K50" i="7" s="1"/>
  <c r="H81" i="11"/>
  <c r="F150" i="5"/>
  <c r="F148" i="5" s="1"/>
  <c r="N18" i="11"/>
  <c r="AC29" i="12"/>
  <c r="H107" i="5"/>
  <c r="H60" i="8"/>
  <c r="G55" i="8"/>
  <c r="F32" i="5"/>
  <c r="F33" i="5" s="1"/>
  <c r="G7" i="10" s="1"/>
  <c r="E32" i="5"/>
  <c r="E33" i="5" s="1"/>
  <c r="D20" i="6"/>
  <c r="G60" i="8"/>
  <c r="G38" i="7"/>
  <c r="H38" i="7"/>
  <c r="E7" i="10"/>
  <c r="F101" i="5"/>
  <c r="E102" i="5" l="1"/>
  <c r="H41" i="7"/>
  <c r="E52" i="7"/>
  <c r="E105" i="5" s="1"/>
  <c r="C46" i="8"/>
  <c r="C87" i="8" s="1"/>
  <c r="F20" i="6"/>
  <c r="F79" i="6" s="1"/>
  <c r="F95" i="6" s="1"/>
  <c r="F100" i="6" s="1"/>
  <c r="F104" i="6"/>
  <c r="H34" i="7"/>
  <c r="G160" i="5"/>
  <c r="G168" i="5"/>
  <c r="C86" i="8"/>
  <c r="C111" i="5" s="1"/>
  <c r="V48" i="12"/>
  <c r="H87" i="6"/>
  <c r="G24" i="8"/>
  <c r="E101" i="5"/>
  <c r="G34" i="7"/>
  <c r="H17" i="8"/>
  <c r="C103" i="6"/>
  <c r="C66" i="5" s="1"/>
  <c r="G117" i="5"/>
  <c r="G40" i="8"/>
  <c r="G78" i="8"/>
  <c r="G87" i="6"/>
  <c r="G162" i="5"/>
  <c r="G104" i="5"/>
  <c r="G37" i="5"/>
  <c r="G59" i="5"/>
  <c r="C77" i="5"/>
  <c r="H108" i="6"/>
  <c r="J59" i="11"/>
  <c r="D60" i="8"/>
  <c r="I55" i="8"/>
  <c r="K55" i="8" s="1"/>
  <c r="D48" i="8"/>
  <c r="I48" i="8" s="1"/>
  <c r="H93" i="6"/>
  <c r="G97" i="5"/>
  <c r="L81" i="11"/>
  <c r="G17" i="8"/>
  <c r="I41" i="7"/>
  <c r="K41" i="7" s="1"/>
  <c r="G8" i="6"/>
  <c r="I48" i="7"/>
  <c r="K48" i="7" s="1"/>
  <c r="H102" i="5"/>
  <c r="L24" i="11"/>
  <c r="H85" i="6"/>
  <c r="G107" i="5"/>
  <c r="C115" i="5"/>
  <c r="C122" i="5" s="1"/>
  <c r="F30" i="11"/>
  <c r="AN24" i="11"/>
  <c r="H30" i="11"/>
  <c r="AC48" i="12"/>
  <c r="W48" i="12"/>
  <c r="L30" i="11"/>
  <c r="T18" i="11"/>
  <c r="AN18" i="11"/>
  <c r="G119" i="5"/>
  <c r="H39" i="8"/>
  <c r="G93" i="5"/>
  <c r="E56" i="5"/>
  <c r="G56" i="5" s="1"/>
  <c r="G91" i="6"/>
  <c r="H91" i="6"/>
  <c r="H53" i="5"/>
  <c r="H61" i="6"/>
  <c r="G21" i="6"/>
  <c r="G103" i="5"/>
  <c r="G89" i="5"/>
  <c r="H56" i="5"/>
  <c r="G43" i="5"/>
  <c r="G51" i="5"/>
  <c r="G62" i="5"/>
  <c r="H115" i="5"/>
  <c r="G48" i="8"/>
  <c r="K48" i="8"/>
  <c r="K72" i="8"/>
  <c r="K76" i="8"/>
  <c r="K83" i="8"/>
  <c r="K78" i="8"/>
  <c r="K80" i="8"/>
  <c r="K77" i="8"/>
  <c r="K75" i="8"/>
  <c r="K62" i="8"/>
  <c r="K23" i="8"/>
  <c r="K40" i="8"/>
  <c r="G101" i="5"/>
  <c r="H101" i="5"/>
  <c r="K23" i="7"/>
  <c r="K38" i="8"/>
  <c r="H93" i="5"/>
  <c r="K31" i="8"/>
  <c r="D93" i="5"/>
  <c r="H21" i="6"/>
  <c r="N81" i="11"/>
  <c r="H167" i="5"/>
  <c r="N12" i="11"/>
  <c r="T30" i="11"/>
  <c r="AN30" i="11"/>
  <c r="G72" i="5"/>
  <c r="D77" i="5"/>
  <c r="G93" i="6"/>
  <c r="I45" i="8"/>
  <c r="D103" i="6"/>
  <c r="D66" i="5" s="1"/>
  <c r="G45" i="5"/>
  <c r="H7" i="8"/>
  <c r="G7" i="8"/>
  <c r="G42" i="5"/>
  <c r="I17" i="8"/>
  <c r="K17" i="8" s="1"/>
  <c r="D7" i="8"/>
  <c r="I7" i="8" s="1"/>
  <c r="K7" i="8" s="1"/>
  <c r="F34" i="5"/>
  <c r="H34" i="5" s="1"/>
  <c r="H35" i="5"/>
  <c r="D34" i="5"/>
  <c r="D47" i="5" s="1"/>
  <c r="D58" i="5" s="1"/>
  <c r="D63" i="5" s="1"/>
  <c r="D104" i="6"/>
  <c r="D67" i="5" s="1"/>
  <c r="D79" i="6"/>
  <c r="D107" i="6" s="1"/>
  <c r="D113" i="6" s="1"/>
  <c r="E8" i="10" s="1"/>
  <c r="G31" i="5"/>
  <c r="D95" i="6"/>
  <c r="D100" i="6" s="1"/>
  <c r="D17" i="10"/>
  <c r="F17" i="10" s="1"/>
  <c r="C67" i="8"/>
  <c r="C110" i="5" s="1"/>
  <c r="C52" i="7"/>
  <c r="C105" i="5" s="1"/>
  <c r="D18" i="10"/>
  <c r="F18" i="10" s="1"/>
  <c r="V57" i="12"/>
  <c r="M59" i="11"/>
  <c r="G166" i="5"/>
  <c r="H166" i="5"/>
  <c r="E164" i="5"/>
  <c r="G164" i="5" s="1"/>
  <c r="L32" i="11"/>
  <c r="G57" i="8"/>
  <c r="G67" i="8"/>
  <c r="H57" i="8"/>
  <c r="H52" i="7"/>
  <c r="H80" i="5"/>
  <c r="E77" i="5"/>
  <c r="H77" i="5" s="1"/>
  <c r="G73" i="5"/>
  <c r="G77" i="5"/>
  <c r="G53" i="5"/>
  <c r="G85" i="6"/>
  <c r="E104" i="6"/>
  <c r="E67" i="5" s="1"/>
  <c r="E79" i="6"/>
  <c r="E95" i="6" s="1"/>
  <c r="E100" i="6" s="1"/>
  <c r="E7" i="7" s="1"/>
  <c r="G16" i="6"/>
  <c r="G32" i="5"/>
  <c r="H8" i="6"/>
  <c r="E47" i="5"/>
  <c r="E58" i="5" s="1"/>
  <c r="E63" i="5" s="1"/>
  <c r="E128" i="5" s="1"/>
  <c r="G33" i="5"/>
  <c r="H33" i="5"/>
  <c r="H164" i="5"/>
  <c r="G20" i="6"/>
  <c r="H20" i="6"/>
  <c r="H67" i="8"/>
  <c r="F105" i="5"/>
  <c r="G52" i="7"/>
  <c r="C109" i="5"/>
  <c r="H54" i="5"/>
  <c r="G54" i="5"/>
  <c r="AD48" i="12"/>
  <c r="AE48" i="12"/>
  <c r="F110" i="5"/>
  <c r="H32" i="5"/>
  <c r="N30" i="11"/>
  <c r="D52" i="7"/>
  <c r="G102" i="5"/>
  <c r="E107" i="6"/>
  <c r="E113" i="6" s="1"/>
  <c r="E48" i="5" s="1"/>
  <c r="E49" i="5" s="1"/>
  <c r="G115" i="5"/>
  <c r="AD61" i="12"/>
  <c r="G23" i="7"/>
  <c r="H73" i="5"/>
  <c r="E103" i="6"/>
  <c r="E66" i="5" s="1"/>
  <c r="D90" i="5"/>
  <c r="D34" i="7"/>
  <c r="G70" i="5"/>
  <c r="H70" i="5"/>
  <c r="H75" i="5"/>
  <c r="G75" i="5"/>
  <c r="G82" i="5"/>
  <c r="G152" i="5"/>
  <c r="G109" i="6"/>
  <c r="E150" i="5"/>
  <c r="E148" i="5" s="1"/>
  <c r="G148" i="5" s="1"/>
  <c r="F81" i="11"/>
  <c r="J81" i="11"/>
  <c r="T63" i="12"/>
  <c r="AB63" i="12" s="1"/>
  <c r="D125" i="5"/>
  <c r="D122" i="5" s="1"/>
  <c r="E18" i="10" s="1"/>
  <c r="D115" i="5"/>
  <c r="E17" i="10" s="1"/>
  <c r="E157" i="5"/>
  <c r="G157" i="5" s="1"/>
  <c r="G163" i="5"/>
  <c r="G41" i="7"/>
  <c r="G61" i="6"/>
  <c r="N24" i="11"/>
  <c r="G38" i="5"/>
  <c r="H38" i="5"/>
  <c r="E125" i="5"/>
  <c r="H6" i="9"/>
  <c r="G6" i="9"/>
  <c r="AC54" i="12"/>
  <c r="V54" i="12"/>
  <c r="AD54" i="12" s="1"/>
  <c r="U63" i="12"/>
  <c r="C104" i="6"/>
  <c r="C67" i="5" s="1"/>
  <c r="C20" i="6"/>
  <c r="C79" i="6" s="1"/>
  <c r="C32" i="5"/>
  <c r="C33" i="5" s="1"/>
  <c r="E37" i="8"/>
  <c r="E28" i="8" s="1"/>
  <c r="E20" i="8" s="1"/>
  <c r="E46" i="8" s="1"/>
  <c r="H38" i="8"/>
  <c r="G158" i="5"/>
  <c r="H161" i="5"/>
  <c r="G161" i="5"/>
  <c r="K18" i="7"/>
  <c r="H56" i="6"/>
  <c r="H73" i="6"/>
  <c r="F169" i="5"/>
  <c r="N38" i="11"/>
  <c r="K9" i="7"/>
  <c r="I35" i="7"/>
  <c r="K35" i="7" s="1"/>
  <c r="I41" i="8"/>
  <c r="K41" i="8" s="1"/>
  <c r="I69" i="8"/>
  <c r="D86" i="8"/>
  <c r="I71" i="8"/>
  <c r="K19" i="8"/>
  <c r="I29" i="8"/>
  <c r="K29" i="8" s="1"/>
  <c r="K45" i="8"/>
  <c r="K39" i="8"/>
  <c r="K24" i="8"/>
  <c r="H48" i="8"/>
  <c r="I60" i="8" l="1"/>
  <c r="K60" i="8" s="1"/>
  <c r="D57" i="8"/>
  <c r="F7" i="7"/>
  <c r="F21" i="7" s="1"/>
  <c r="F101" i="6"/>
  <c r="F102" i="6"/>
  <c r="H102" i="6" s="1"/>
  <c r="G34" i="5"/>
  <c r="E22" i="10"/>
  <c r="D7" i="7"/>
  <c r="I7" i="7" s="1"/>
  <c r="D101" i="6"/>
  <c r="D64" i="5" s="1"/>
  <c r="D102" i="6"/>
  <c r="D65" i="5" s="1"/>
  <c r="D48" i="5"/>
  <c r="D49" i="5" s="1"/>
  <c r="E13" i="10"/>
  <c r="C90" i="8"/>
  <c r="C113" i="5" s="1"/>
  <c r="AD57" i="12"/>
  <c r="W57" i="12"/>
  <c r="AE57" i="12" s="1"/>
  <c r="E65" i="5"/>
  <c r="E64" i="5"/>
  <c r="D7" i="10"/>
  <c r="F7" i="10" s="1"/>
  <c r="C47" i="5"/>
  <c r="C58" i="5" s="1"/>
  <c r="C63" i="5" s="1"/>
  <c r="K43" i="8"/>
  <c r="G43" i="8"/>
  <c r="G58" i="6"/>
  <c r="H58" i="6"/>
  <c r="F41" i="5"/>
  <c r="D105" i="5"/>
  <c r="I52" i="7"/>
  <c r="K52" i="7" s="1"/>
  <c r="H110" i="5"/>
  <c r="G110" i="5"/>
  <c r="E21" i="7"/>
  <c r="E91" i="5" s="1"/>
  <c r="E81" i="5"/>
  <c r="I86" i="8"/>
  <c r="D111" i="5"/>
  <c r="H28" i="8"/>
  <c r="G28" i="8"/>
  <c r="E122" i="5"/>
  <c r="G125" i="5"/>
  <c r="H125" i="5"/>
  <c r="D37" i="8"/>
  <c r="G37" i="8"/>
  <c r="H37" i="8"/>
  <c r="K71" i="8"/>
  <c r="G71" i="8"/>
  <c r="D129" i="5"/>
  <c r="D128" i="5"/>
  <c r="E11" i="10"/>
  <c r="E10" i="10"/>
  <c r="D130" i="5"/>
  <c r="E9" i="10"/>
  <c r="H169" i="5"/>
  <c r="G169" i="5"/>
  <c r="H67" i="6"/>
  <c r="G67" i="6"/>
  <c r="F44" i="5"/>
  <c r="H49" i="6"/>
  <c r="F40" i="5"/>
  <c r="G49" i="6"/>
  <c r="E109" i="5"/>
  <c r="E87" i="8"/>
  <c r="E90" i="8" s="1"/>
  <c r="E113" i="5" s="1"/>
  <c r="C95" i="6"/>
  <c r="C100" i="6" s="1"/>
  <c r="C107" i="6"/>
  <c r="C113" i="6" s="1"/>
  <c r="AC63" i="12"/>
  <c r="W63" i="12"/>
  <c r="AE63" i="12" s="1"/>
  <c r="V63" i="12"/>
  <c r="AD63" i="12" s="1"/>
  <c r="I34" i="7"/>
  <c r="K34" i="7" s="1"/>
  <c r="D101" i="5"/>
  <c r="G150" i="5"/>
  <c r="H157" i="5"/>
  <c r="H105" i="5"/>
  <c r="G105" i="5"/>
  <c r="I57" i="8" l="1"/>
  <c r="K57" i="8" s="1"/>
  <c r="D67" i="8"/>
  <c r="D21" i="7"/>
  <c r="I21" i="7" s="1"/>
  <c r="D81" i="5"/>
  <c r="G79" i="6"/>
  <c r="F107" i="6"/>
  <c r="H79" i="6"/>
  <c r="D8" i="10"/>
  <c r="F8" i="10" s="1"/>
  <c r="C48" i="5"/>
  <c r="C49" i="5" s="1"/>
  <c r="D13" i="10"/>
  <c r="F13" i="10" s="1"/>
  <c r="F67" i="5"/>
  <c r="G104" i="6"/>
  <c r="H104" i="6"/>
  <c r="H44" i="5"/>
  <c r="G44" i="5"/>
  <c r="H122" i="5"/>
  <c r="G122" i="5"/>
  <c r="K86" i="8"/>
  <c r="F111" i="5"/>
  <c r="G111" i="5" s="1"/>
  <c r="G86" i="8"/>
  <c r="H41" i="5"/>
  <c r="G41" i="5"/>
  <c r="F66" i="5"/>
  <c r="H103" i="6"/>
  <c r="G103" i="6"/>
  <c r="C130" i="5"/>
  <c r="C129" i="5"/>
  <c r="D9" i="10"/>
  <c r="F9" i="10" s="1"/>
  <c r="D10" i="10"/>
  <c r="F10" i="10" s="1"/>
  <c r="C128" i="5"/>
  <c r="D11" i="10"/>
  <c r="F11" i="10" s="1"/>
  <c r="C7" i="7"/>
  <c r="C101" i="6"/>
  <c r="C64" i="5" s="1"/>
  <c r="C102" i="6"/>
  <c r="C65" i="5" s="1"/>
  <c r="G40" i="5"/>
  <c r="H40" i="5"/>
  <c r="F47" i="5"/>
  <c r="K69" i="8"/>
  <c r="G69" i="8"/>
  <c r="I37" i="8"/>
  <c r="K37" i="8" s="1"/>
  <c r="D28" i="8"/>
  <c r="G20" i="8"/>
  <c r="H20" i="8"/>
  <c r="D110" i="5" l="1"/>
  <c r="I67" i="8"/>
  <c r="K67" i="8" s="1"/>
  <c r="D91" i="5"/>
  <c r="C21" i="7"/>
  <c r="C91" i="5" s="1"/>
  <c r="C81" i="5"/>
  <c r="F113" i="6"/>
  <c r="H107" i="6"/>
  <c r="G107" i="6"/>
  <c r="H46" i="8"/>
  <c r="F109" i="5"/>
  <c r="G46" i="8"/>
  <c r="I28" i="8"/>
  <c r="K28" i="8" s="1"/>
  <c r="D20" i="8"/>
  <c r="H47" i="5"/>
  <c r="F58" i="5"/>
  <c r="G47" i="5"/>
  <c r="H66" i="5"/>
  <c r="G66" i="5"/>
  <c r="H67" i="5"/>
  <c r="G67" i="5"/>
  <c r="H95" i="6"/>
  <c r="G95" i="6"/>
  <c r="H109" i="5" l="1"/>
  <c r="G109" i="5"/>
  <c r="G22" i="10"/>
  <c r="G8" i="10"/>
  <c r="G113" i="6"/>
  <c r="G13" i="10"/>
  <c r="H113" i="6"/>
  <c r="F48" i="5"/>
  <c r="K7" i="7"/>
  <c r="G100" i="6"/>
  <c r="G9" i="10"/>
  <c r="H101" i="6"/>
  <c r="H100" i="6"/>
  <c r="F63" i="5"/>
  <c r="G58" i="5"/>
  <c r="H58" i="5"/>
  <c r="I20" i="8"/>
  <c r="K20" i="8" s="1"/>
  <c r="D46" i="8"/>
  <c r="G87" i="8"/>
  <c r="H87" i="8"/>
  <c r="G102" i="6" l="1"/>
  <c r="F65" i="5"/>
  <c r="G65" i="5" s="1"/>
  <c r="G48" i="5"/>
  <c r="F49" i="5"/>
  <c r="H48" i="5"/>
  <c r="F113" i="5"/>
  <c r="H90" i="8"/>
  <c r="G90" i="8"/>
  <c r="I46" i="8"/>
  <c r="K46" i="8" s="1"/>
  <c r="D109" i="5"/>
  <c r="D87" i="8"/>
  <c r="H63" i="5"/>
  <c r="G63" i="5"/>
  <c r="F128" i="5"/>
  <c r="G10" i="10"/>
  <c r="G11" i="10"/>
  <c r="F64" i="5"/>
  <c r="G64" i="5" s="1"/>
  <c r="G101" i="6"/>
  <c r="G7" i="7"/>
  <c r="G81" i="5" s="1"/>
  <c r="F81" i="5"/>
  <c r="H7" i="7"/>
  <c r="H81" i="5" s="1"/>
  <c r="D90" i="8" l="1"/>
  <c r="I87" i="8"/>
  <c r="K87" i="8" s="1"/>
  <c r="G49" i="5"/>
  <c r="H49" i="5"/>
  <c r="K21" i="7"/>
  <c r="G21" i="7"/>
  <c r="H21" i="7"/>
  <c r="F91" i="5"/>
  <c r="H128" i="5"/>
  <c r="G128" i="5"/>
  <c r="H113" i="5"/>
  <c r="G113" i="5"/>
  <c r="H91" i="5" l="1"/>
  <c r="G91" i="5"/>
  <c r="D113" i="5"/>
  <c r="I90" i="8"/>
  <c r="K90" i="8" s="1"/>
</calcChain>
</file>

<file path=xl/sharedStrings.xml><?xml version="1.0" encoding="utf-8"?>
<sst xmlns="http://schemas.openxmlformats.org/spreadsheetml/2006/main" count="1617" uniqueCount="609">
  <si>
    <t>Додаток 3</t>
  </si>
  <si>
    <t>до Порядку складання, затвердження</t>
  </si>
  <si>
    <t>та контролю виконання фінансового плану</t>
  </si>
  <si>
    <t>суб'єкта господарювання державного сектору економіки</t>
  </si>
  <si>
    <t>(пункт 11)</t>
  </si>
  <si>
    <t>Коди</t>
  </si>
  <si>
    <t>Підприємство</t>
  </si>
  <si>
    <t>ПрАТ "Українське Дунайське Пароплавство"</t>
  </si>
  <si>
    <t>за ЄДРПОУ</t>
  </si>
  <si>
    <t>Організаційно-правова форма</t>
  </si>
  <si>
    <t>за КОПФГ</t>
  </si>
  <si>
    <t>231</t>
  </si>
  <si>
    <t>Територія</t>
  </si>
  <si>
    <t>Одеська</t>
  </si>
  <si>
    <t>за КОАТУУ</t>
  </si>
  <si>
    <t>5110600000</t>
  </si>
  <si>
    <t>Орган державного управління</t>
  </si>
  <si>
    <t>МІНІСТЕРСТВО ІНФРАСТРУКТУРИ УКРАЇНИ</t>
  </si>
  <si>
    <t>за СПОДУ</t>
  </si>
  <si>
    <t>7214</t>
  </si>
  <si>
    <t>Галузь</t>
  </si>
  <si>
    <t>Морський транспорт</t>
  </si>
  <si>
    <t>за ЗКГНГ</t>
  </si>
  <si>
    <t>51210</t>
  </si>
  <si>
    <t>Вид економічної діяльності</t>
  </si>
  <si>
    <t>Діяльність морського вантажного транспорту</t>
  </si>
  <si>
    <t>за  КВЕД</t>
  </si>
  <si>
    <t>50.20</t>
  </si>
  <si>
    <t>Одиниця виміру, тис. гривень</t>
  </si>
  <si>
    <t>Стандарти звітності П(с)БОУ</t>
  </si>
  <si>
    <t>Форма власності</t>
  </si>
  <si>
    <t>ДЕРЖАВНА</t>
  </si>
  <si>
    <t>Стандарти звітності МСФЗ</t>
  </si>
  <si>
    <t>Середньооблікова кількість штатних працівників</t>
  </si>
  <si>
    <t>Місцезнаходження</t>
  </si>
  <si>
    <t>Телефон</t>
  </si>
  <si>
    <t>(04841) 67-177</t>
  </si>
  <si>
    <t>Прізвище та ініціали керівника</t>
  </si>
  <si>
    <t>ЗВІТ</t>
  </si>
  <si>
    <t>Основні фінансові показники</t>
  </si>
  <si>
    <t>Найменування показника</t>
  </si>
  <si>
    <t>Код рядка</t>
  </si>
  <si>
    <t>Факт наростаючим підсумком з початку року</t>
  </si>
  <si>
    <t>минулий рік</t>
  </si>
  <si>
    <t>поточний рік</t>
  </si>
  <si>
    <t>план</t>
  </si>
  <si>
    <t>факт</t>
  </si>
  <si>
    <t>відхилення,  +/–</t>
  </si>
  <si>
    <t>виконання, %</t>
  </si>
  <si>
    <t>І. Формування фінансових результатів</t>
  </si>
  <si>
    <t>Чистий дохід від реалізації продукції (товарів, робіт, послуг)</t>
  </si>
  <si>
    <t>0,0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</si>
  <si>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</si>
  <si>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</si>
  <si>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</si>
  <si>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</si>
  <si>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</si>
  <si>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</si>
  <si>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</si>
  <si>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</si>
  <si>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збут</t>
  </si>
  <si>
    <t>Інші операційні доходи, у тому числі:</t>
  </si>
  <si>
    <t>курсові різниці</t>
  </si>
  <si>
    <t>нетипові операційні доходи</t>
  </si>
  <si>
    <t>Інші операційні витрати, у тому числі:</t>
  </si>
  <si>
    <t>нетипові операційні витрати</t>
  </si>
  <si>
    <t>Фінансовий результат від операційної діяльності</t>
  </si>
  <si>
    <t>EBITDA</t>
  </si>
  <si>
    <t>Рентабельність EBITDA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</si>
  <si>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</si>
  <si>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</si>
  <si>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</si>
  <si>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</si>
  <si>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</si>
  <si>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витрати, усього, у тому числі: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</si>
  <si>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</si>
  <si>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</si>
  <si>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</si>
  <si>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>Прибуток від припиненої діяльності після оподаткування</t>
  </si>
  <si>
    <t>Збиток від припиненої діяльності після оподаткування</t>
  </si>
  <si>
    <t>Чистий фінансовий результат</t>
  </si>
  <si>
    <t>Прибуток</t>
  </si>
  <si>
    <t>Збиток</t>
  </si>
  <si>
    <t>Усього доходів</t>
  </si>
  <si>
    <t>Усього витрат</t>
  </si>
  <si>
    <t>Неконтрольована частка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</si>
  <si>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</si>
  <si>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</si>
  <si>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</si>
  <si>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</si>
  <si>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</si>
  <si>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</si>
  <si>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</si>
  <si>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</si>
  <si>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Усього</t>
  </si>
  <si>
    <t>IІ. Розрахунки з бюджетом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</si>
  <si>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</si>
  <si>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</si>
  <si>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</si>
  <si>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</si>
  <si>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</si>
  <si>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</si>
  <si>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</si>
  <si>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</si>
  <si>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</si>
  <si>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Резервний фонд</t>
  </si>
  <si>
    <t>Інші фонди</t>
  </si>
  <si>
    <t>Інші цілі</t>
  </si>
  <si>
    <t>Залишок нерозподіленого прибутку (непокритого збитку) на кінець звітного періоду</t>
  </si>
  <si>
    <t>Сплата податків, зборів та інших обов'язкових платежів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</si>
  <si>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</si>
  <si>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</si>
  <si>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</si>
  <si>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</si>
  <si>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</si>
  <si>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відрахування частини чистого прибутку державними унітарними підприємствами та їх об'єднаннями</t>
  </si>
  <si>
    <t>рентна плата за транспортування</t>
  </si>
  <si>
    <t>рентна плата за користування надрами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</si>
  <si>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</si>
  <si>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</si>
  <si>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</si>
  <si>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єдиний внесок на загальнообов'язкове державне соціальне страхування</t>
  </si>
  <si>
    <t>Усього виплат на користь держави</t>
  </si>
  <si>
    <t>IІІ. Рух грошових коштів</t>
  </si>
  <si>
    <t>Залишок коштів на початок періоду</t>
  </si>
  <si>
    <t>Цільове фінансування</t>
  </si>
  <si>
    <t>Чистий рух коштів від операційної діяльності</t>
  </si>
  <si>
    <t>Чистий рух коштів від інвестиційної діяльності </t>
  </si>
  <si>
    <t>Чистий рух коштів від фінансової діяльності</t>
  </si>
  <si>
    <t>Вплив зміни валютних курсів на залишок коштів</t>
  </si>
  <si>
    <t>Залишок коштів на кінець періоду</t>
  </si>
  <si>
    <t>ІV. Капітальні інвестиції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</si>
  <si>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</si>
  <si>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</si>
  <si>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</si>
  <si>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</si>
  <si>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</si>
  <si>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</si>
  <si>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</si>
  <si>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Джерела капітальних інвестицій, усього, у тому числі:</t>
  </si>
  <si>
    <t>залучені кредитні кошти</t>
  </si>
  <si>
    <t>4000/1</t>
  </si>
  <si>
    <t>бюджетне фінансування</t>
  </si>
  <si>
    <t>4000/2</t>
  </si>
  <si>
    <t>власні кошти</t>
  </si>
  <si>
    <t>4000/3</t>
  </si>
  <si>
    <t>інші джерела</t>
  </si>
  <si>
    <t>4000/4</t>
  </si>
  <si>
    <t>V. Коефіцієнтний аналіз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</si>
  <si>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</si>
  <si>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</si>
  <si>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</si>
  <si>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фінансової стійкості</t>
  </si>
  <si>
    <t>Коефіцієнт зносу основних засобів</t>
  </si>
  <si>
    <t>VI. Звіт про фінансовий стан</t>
  </si>
  <si>
    <t>Необоротні активи, усього, у тому числі:</t>
  </si>
  <si>
    <t>x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</si>
  <si>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</si>
  <si>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</si>
  <si>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</si>
  <si>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</si>
  <si>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</si>
  <si>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</si>
  <si>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</si>
  <si>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</si>
  <si>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</si>
  <si>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</si>
  <si>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</si>
  <si>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Власний капітал</t>
  </si>
  <si>
    <t>VІI. Кредитна політика</t>
  </si>
  <si>
    <t>Отримано залучених коштів, усього, у тому числі:</t>
  </si>
  <si>
    <t>довгострокові зобов'язання</t>
  </si>
  <si>
    <t>короткострокові зобов'язання</t>
  </si>
  <si>
    <t>інші фінансові зобов'язання</t>
  </si>
  <si>
    <t>Повернено залучених коштів, усього, у тому числі:</t>
  </si>
  <si>
    <t>VIII. Дані про персонал та витрати на оплату праці</t>
  </si>
  <si>
    <t>адміністративно-управлінський персонал</t>
  </si>
  <si>
    <t>працівники</t>
  </si>
  <si>
    <t>Середньомісячні витрати на оплату праці одного працівника (гривень), усього, у тому числі:</t>
  </si>
  <si>
    <t>Керівник</t>
  </si>
  <si>
    <t>(посада)</t>
  </si>
  <si>
    <t>(підпис)</t>
  </si>
  <si>
    <t>(ініціали, прізвище)</t>
  </si>
  <si>
    <t>I. Формування фінансових результатів</t>
  </si>
  <si>
    <t>Пояснення та обґрунтування до запланованого рівня доходів/витрат</t>
  </si>
  <si>
    <t>Доходи і витрати (деталізація)</t>
  </si>
  <si>
    <t>Чистий дохід від реалізації продукції (товарів, робіт, послуг) (розшифрувати)</t>
  </si>
  <si>
    <t>Витрати на сировину та основні матеріали</t>
  </si>
  <si>
    <t>Витрати на паливо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</si>
  <si>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</si>
  <si>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</si>
  <si>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</si>
  <si>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</si>
  <si>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виплата інвалюти замість добових</t>
  </si>
  <si>
    <t>інші</t>
  </si>
  <si>
    <t>Валовий прибуток (збиток)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</si>
  <si>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</si>
  <si>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</si>
  <si>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</si>
  <si>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</si>
  <si>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</si>
  <si>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</si>
  <si>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</si>
  <si>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</si>
  <si>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>організаційно-технічні послуги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</si>
  <si>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</si>
  <si>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</si>
  <si>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</si>
  <si>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</si>
  <si>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>витрати на підвищення кваліфікації та перепідготовку кадрів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</si>
  <si>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</si>
  <si>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</si>
  <si>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</si>
  <si>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інші адміністративні витрати (розшифрувати)</t>
  </si>
  <si>
    <t>сировина та матеріали</t>
  </si>
  <si>
    <t>податки та платежі</t>
  </si>
  <si>
    <t>послуги охорони та зберігання майна</t>
  </si>
  <si>
    <t>послуги банку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</si>
  <si>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</si>
  <si>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</si>
  <si>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</si>
  <si>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</si>
  <si>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</si>
  <si>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</si>
  <si>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</si>
  <si>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</si>
  <si>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</si>
  <si>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від реалізації оборотних активів</t>
  </si>
  <si>
    <t>від операційної оренди активів</t>
  </si>
  <si>
    <t>суми штрафів, пені, неустойок та інших санкцій за порушення господарських договорів, які одержано від боржників за  рішенням судів</t>
  </si>
  <si>
    <t>інші доходи</t>
  </si>
  <si>
    <t>Інші операційні витрати, усього, у тому числі:</t>
  </si>
  <si>
    <t>нетипові операційні витрати (розшифрувати)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</si>
  <si>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</si>
  <si>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</si>
  <si>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</si>
  <si>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>інші операційні витрати (розшифрувати)</t>
  </si>
  <si>
    <t>собівартість реалізованих виробничих запасів</t>
  </si>
  <si>
    <t>витрати на утримання, експлуатацію та забезпечення основної діяльності об'єктів соціальної інфраструктури</t>
  </si>
  <si>
    <t>перерахування профкому</t>
  </si>
  <si>
    <t>штрафи, пені</t>
  </si>
  <si>
    <t>інші витрати</t>
  </si>
  <si>
    <t>Дохід від участі в капіталі (розшифрувати)</t>
  </si>
  <si>
    <t>Втрати від участі в капіталі (розшифрувати)</t>
  </si>
  <si>
    <t>Інші фінансові доходи (розшифрувати)</t>
  </si>
  <si>
    <t>інші доходи від фінансових операцій</t>
  </si>
  <si>
    <t>Фінансові витрати (розшифрувати)</t>
  </si>
  <si>
    <t>інші фінансові витрати</t>
  </si>
  <si>
    <t>інші доходи (розшифрувати)</t>
  </si>
  <si>
    <t>інші доходи від звичайної діяльності</t>
  </si>
  <si>
    <t>Чистий фінансовий результат, у тому числі:</t>
  </si>
  <si>
    <t>прибуток</t>
  </si>
  <si>
    <t>збиток</t>
  </si>
  <si>
    <t>Розрахунок показника EBITDA</t>
  </si>
  <si>
    <t>Фінансовий результат від операційної діяльності, рядок 1100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</si>
  <si>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</si>
  <si>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</si>
  <si>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</si>
  <si>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</si>
  <si>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</si>
  <si>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у тому числі за основними видами діяльності за КВЕД</t>
  </si>
  <si>
    <t>Інші фонди (розшифрувати)</t>
  </si>
  <si>
    <t>Інші цілі (розшифрувати)</t>
  </si>
  <si>
    <t>доходи/витрати минулих періодів</t>
  </si>
  <si>
    <t>податок на доходи фізичних осіб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</si>
  <si>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</si>
  <si>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</si>
  <si>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</si>
  <si>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</si>
  <si>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податок на нерухоме майно, відмінне від земельної ділянки</t>
  </si>
  <si>
    <t>Інші податки, збори та платежі на користь держави, усього, у тому числі:</t>
  </si>
  <si>
    <t>митні платежі</t>
  </si>
  <si>
    <t>інші податки, збори та платежі (розшифрувати)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</si>
  <si>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</si>
  <si>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</si>
  <si>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</si>
  <si>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>ІІІ. Рух грошових коштів (за прямим методом)</t>
  </si>
  <si>
    <t>І. 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</si>
  <si>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</si>
  <si>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</si>
  <si>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</si>
  <si>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</si>
  <si>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  (розшифрувати)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</si>
  <si>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</si>
  <si>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</si>
  <si>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</si>
  <si>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>позики</t>
  </si>
  <si>
    <t>облігації</t>
  </si>
  <si>
    <t>Інші надходження (розшифрувати)</t>
  </si>
  <si>
    <t>інше</t>
  </si>
  <si>
    <t>Розрахунки за продукцію (товари, роботи та послуги)</t>
  </si>
  <si>
    <t>Розрахунки з оплати праці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</si>
  <si>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</si>
  <si>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</si>
  <si>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</si>
  <si>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</si>
  <si>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інші обов’язкові платежі, у тому числі:</t>
  </si>
  <si>
    <t>Інші</t>
  </si>
  <si>
    <t>Повернення коштів до бюджету</t>
  </si>
  <si>
    <t>Інші витрати (розшифрувати)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</si>
  <si>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</si>
  <si>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</si>
  <si>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III. Рух коштів у результаті фінансової діяльності</t>
  </si>
  <si>
    <t>Надходження грошових коштів від фінансової діяльності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</si>
  <si>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</si>
  <si>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</si>
  <si>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</si>
  <si>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</si>
  <si>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</si>
  <si>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Чистий рух коштів від фінансової діяльності </t>
  </si>
  <si>
    <t>IV. Капітальні інвестиції</t>
  </si>
  <si>
    <t>Капітальні інвестиції, усього,
у тому числі:</t>
  </si>
  <si>
    <t>Оптимальне значення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</si>
  <si>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</si>
  <si>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</si>
  <si>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</si>
  <si>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Збільшення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</si>
  <si>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</si>
  <si>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</si>
  <si>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Характеризує ефективність використання активів підприємства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</si>
  <si>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</si>
  <si>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</si>
  <si>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</si>
  <si>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</si>
  <si>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6030 + поточні зобов'язання, рядок 6040) / EBITDA, рядок 1310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</si>
  <si>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</si>
  <si>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</si>
  <si>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</si>
  <si>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6040)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</si>
  <si>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</si>
  <si>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</si>
  <si>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</si>
  <si>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</si>
  <si>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</si>
  <si>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Зменшення</t>
  </si>
  <si>
    <t>Характеризує інвестиційну політику підприємства</t>
  </si>
  <si>
    <t>Інформація</t>
  </si>
  <si>
    <t>(найменування підприємства)</t>
  </si>
  <si>
    <t>Загальна інформація про підприємство (резюме)</t>
  </si>
  <si>
    <t>Факт
відповідного періоду минулого року</t>
  </si>
  <si>
    <t>План
звітного періоду</t>
  </si>
  <si>
    <t>Факт
звітного періоду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</si>
  <si>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</si>
  <si>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</si>
  <si>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</t>
  </si>
  <si>
    <t>2.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</si>
  <si>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</si>
  <si>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</si>
  <si>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</si>
  <si>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>3. Інформація про бізнес підприємства (код рядка 1000 фінансового плану)</t>
  </si>
  <si>
    <t>Найменування видів діяльності за КВЕД</t>
  </si>
  <si>
    <t>План</t>
  </si>
  <si>
    <t>Факт</t>
  </si>
  <si>
    <t>Відхилення,  +/–</t>
  </si>
  <si>
    <t>Виконання, %</t>
  </si>
  <si>
    <t>Зміна ціни одиниці  (вартості продукції/     наданих послуг)</t>
  </si>
  <si>
    <t>чистий дохід  від реалізації продукції (товарів, робіт, послуг),     тис. гривень</t>
  </si>
  <si>
    <t>кількість продукції/ наданих послуг, одиниця виміру</t>
  </si>
  <si>
    <t>ціна одиниці     (вартість  продукції/     наданих послуг), гривень</t>
  </si>
  <si>
    <t>чистий дохід  від реалізації продукції (товарів, робіт, послуг)</t>
  </si>
  <si>
    <t>кількість продукції/ наданих послуг</t>
  </si>
  <si>
    <t>Дiяльнiсть морського вантажного транспорту</t>
  </si>
  <si>
    <t>Дiяльнiсть вантажного рiчкового транспорту</t>
  </si>
  <si>
    <t>Дiяльнiсть пасажирського рiчкового транспорту</t>
  </si>
  <si>
    <t>Будування та ремонт суден</t>
  </si>
  <si>
    <t>4. Діючі фінансові зобов'язання підприємства</t>
  </si>
  <si>
    <t>Найменування  банку</t>
  </si>
  <si>
    <t>Вид кредитного продукту та цільове призначення</t>
  </si>
  <si>
    <t>Сума, валюта за договорами</t>
  </si>
  <si>
    <t>Процентна ставка</t>
  </si>
  <si>
    <t>Дата видачі/погашення (графік)</t>
  </si>
  <si>
    <t>Забезпечення</t>
  </si>
  <si>
    <t>ДП АМПУ</t>
  </si>
  <si>
    <t>х</t>
  </si>
  <si>
    <t>5. Інформація щодо отримання та повернення залучених коштів</t>
  </si>
  <si>
    <t>Зобов'язання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</si>
  <si>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</si>
  <si>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</si>
  <si>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 за звітний період</t>
  </si>
  <si>
    <t>Заборгованість на кінець звітного періоду</t>
  </si>
  <si>
    <t>Довгострокові зобов'язання, усього</t>
  </si>
  <si>
    <t>у тому числі:</t>
  </si>
  <si>
    <t>Короткострокові зобов'язання, усього</t>
  </si>
  <si>
    <t>Інші фінансові зобов'язання, усього</t>
  </si>
  <si>
    <t>6. Витрати, пов'язані з використанням власних службових автомобілів (у складі адміністративних витрат, рядок 1031)</t>
  </si>
  <si>
    <t>№ з/п</t>
  </si>
  <si>
    <t>Марка</t>
  </si>
  <si>
    <t>Рік придбання</t>
  </si>
  <si>
    <t>Мета використання</t>
  </si>
  <si>
    <t>Витрати, усього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</si>
  <si>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</si>
  <si>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</si>
  <si>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факт
відповідного періоду
минулого року</t>
  </si>
  <si>
    <t>план
звітного періоду</t>
  </si>
  <si>
    <t>факт
звітного періоду</t>
  </si>
  <si>
    <t>Volvo 960 6670 СО</t>
  </si>
  <si>
    <t>Службові перевезення</t>
  </si>
  <si>
    <t>VW Passat 3436 ЕВ</t>
  </si>
  <si>
    <t>Audi A6 8441 СК</t>
  </si>
  <si>
    <t>LandCruiser 4171 АО</t>
  </si>
  <si>
    <t>VW Caravella 4632 СІ</t>
  </si>
  <si>
    <t>Мікроавтобус, службові перевезення</t>
  </si>
  <si>
    <t>ГАЗель 3221 6850 СМ</t>
  </si>
  <si>
    <t>Hyundai Sonata 6681 СК</t>
  </si>
  <si>
    <t>Hyundai Sonata 6682 СК</t>
  </si>
  <si>
    <t>BMW 316 7856 СА</t>
  </si>
  <si>
    <t>VW Passat 3452 ЕВ</t>
  </si>
  <si>
    <t>Mercedes 6690 СМ</t>
  </si>
  <si>
    <t>Volvo 940 3429 ЕВ</t>
  </si>
  <si>
    <t>Toyota Prado 2626 СО</t>
  </si>
  <si>
    <t>Службові перевезення (КСБСРЗ)</t>
  </si>
  <si>
    <t>Газель 4696 ВН</t>
  </si>
  <si>
    <t>Mitsubishi Pajero 5200 СО</t>
  </si>
  <si>
    <t>Daewoo 4963 ВН</t>
  </si>
  <si>
    <t>7. Витрати на оренду службових автомобілів (у складі адміністративних витрат, рядок 1032)</t>
  </si>
  <si>
    <t>Договір</t>
  </si>
  <si>
    <t>Дата початку оренди</t>
  </si>
  <si>
    <t>8. Джерела капітальних інвестицій</t>
  </si>
  <si>
    <t>тис. гривень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</si>
  <si>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</si>
  <si>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</si>
  <si>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</si>
  <si>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</si>
  <si>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</si>
  <si>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I</t>
  </si>
  <si>
    <t>Капітальне будівництво</t>
  </si>
  <si>
    <t>-</t>
  </si>
  <si>
    <t>Капітальне будівництво баржі типу SLG на КСБСРЗ</t>
  </si>
  <si>
    <t>II</t>
  </si>
  <si>
    <t>Придбання (виготовлення) основних засобів</t>
  </si>
  <si>
    <t>Придбання засобів зв'язку та електрорадіонавігаційного обладнання для флоту</t>
  </si>
  <si>
    <t>Придбання оргтехніки</t>
  </si>
  <si>
    <t>Побутова техніка для флоту (на виконання вимог СЕС)</t>
  </si>
  <si>
    <t>III</t>
  </si>
  <si>
    <t>Придбання (виготовлення) інших необоротних матеріальних активів</t>
  </si>
  <si>
    <t>IV</t>
  </si>
  <si>
    <t>Придбання (створення) нематеріальних активів</t>
  </si>
  <si>
    <t>V</t>
  </si>
  <si>
    <t>Модернізація, модифікація (добудова, дообладнання, реконструкція) основних засобів</t>
  </si>
  <si>
    <t>Модернізація системи опалення адмінбудови</t>
  </si>
  <si>
    <t>VI</t>
  </si>
  <si>
    <t>Капітальний ремонт</t>
  </si>
  <si>
    <t>Відсоток</t>
  </si>
  <si>
    <t>9. Капітальне будівництво (рядок 4010 таблиці 4)</t>
  </si>
  <si>
    <t>№</t>
  </si>
  <si>
    <t>Найменування об’єктів</t>
  </si>
  <si>
    <t>Рік початку і закінчення будівництва</t>
  </si>
  <si>
    <t>Загальна кошторисна вартість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</si>
  <si>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</si>
  <si>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</si>
  <si>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</si>
  <si>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</si>
  <si>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</si>
  <si>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</si>
  <si>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>у тому числі</t>
  </si>
  <si>
    <t>кредитні кошти</t>
  </si>
  <si>
    <t>інші джерела (зазначити джерело)</t>
  </si>
  <si>
    <t>1018/1</t>
  </si>
  <si>
    <t>1018/2</t>
  </si>
  <si>
    <t>1018/3</t>
  </si>
  <si>
    <t>1051/1</t>
  </si>
  <si>
    <t>1051/2</t>
  </si>
  <si>
    <t>1051/3</t>
  </si>
  <si>
    <t>1051/4</t>
  </si>
  <si>
    <t>1051/5</t>
  </si>
  <si>
    <t>1073/1</t>
  </si>
  <si>
    <t>1073/2</t>
  </si>
  <si>
    <t>1073/3</t>
  </si>
  <si>
    <t>1073/4</t>
  </si>
  <si>
    <t>1073/5</t>
  </si>
  <si>
    <t>1086/1</t>
  </si>
  <si>
    <t>1086/2</t>
  </si>
  <si>
    <t>1086/3</t>
  </si>
  <si>
    <t>1086/4</t>
  </si>
  <si>
    <t>1086/5</t>
  </si>
  <si>
    <t>доходи від фінансових інвестицій</t>
  </si>
  <si>
    <t>1152/1</t>
  </si>
  <si>
    <t>1067/1</t>
  </si>
  <si>
    <t>1162/1</t>
  </si>
  <si>
    <t>військовий збір</t>
  </si>
  <si>
    <t>2119/1</t>
  </si>
  <si>
    <t>2124/1</t>
  </si>
  <si>
    <t>2124/2</t>
  </si>
  <si>
    <t>штрафи</t>
  </si>
  <si>
    <t>2142/1</t>
  </si>
  <si>
    <t>3270/1</t>
  </si>
  <si>
    <t xml:space="preserve">Заборгованість на останню дату </t>
  </si>
  <si>
    <t>3240/1</t>
  </si>
  <si>
    <t>2060/1</t>
  </si>
  <si>
    <t xml:space="preserve">інші </t>
  </si>
  <si>
    <t xml:space="preserve">Придбання іншого обладнання </t>
  </si>
  <si>
    <t>Придбання іншого ліцензійного програмного забезпечення (у тому числі електронні карти для суден)</t>
  </si>
  <si>
    <t>вул. Пароходна, 28, м. Ізмаїл, Одеська обл., 68600, Україна</t>
  </si>
  <si>
    <t>ПрАТ "УДП"</t>
  </si>
  <si>
    <t>2060/2</t>
  </si>
  <si>
    <t>дохід від списання кредиторської заборгованості, щодо якої минув строк позову</t>
  </si>
  <si>
    <t xml:space="preserve">ПРО ВИКОНАННЯ ФІНАНСОВОГО ПЛАНУ 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</si>
  <si>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</si>
  <si>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</si>
  <si>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
у тому числі:</t>
  </si>
  <si>
    <t>відсотки по кредиту</t>
  </si>
  <si>
    <t>3170/2</t>
  </si>
  <si>
    <t>навігаційні, канальні, стивідорні, лінійне буксирування</t>
  </si>
  <si>
    <t>Відновлювальна кредитна лінія з лімітом 30 млн. грн.</t>
  </si>
  <si>
    <t>3170/1</t>
  </si>
  <si>
    <t>Daewoo 435-93 ОА</t>
  </si>
  <si>
    <t>"Mitsubishi Pajero", Mercedes E200 7509 ВЕ, VW</t>
  </si>
  <si>
    <t>Придбання програмного забезпечення для тренажрів РТЛ та ГМССБ (учбовий центр)</t>
  </si>
  <si>
    <t>Реконструкція куполу</t>
  </si>
  <si>
    <t>Дунайська стивідорна компанія</t>
  </si>
  <si>
    <t>Модернізація систем очищення стічних вод пасажирських суден</t>
  </si>
  <si>
    <t>Середня кількість працівників (штатних працівників, зовнішніх сумісників та працівників, які працюють за цивільно-правовими договорами), у тому числі: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</si>
  <si>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</si>
  <si>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Витрачання грошових коштів від операційної діяльності</t>
  </si>
  <si>
    <t>3156/1</t>
  </si>
  <si>
    <t>відрахування частини чистого прибутку державними унітарними підприємствами та їх об҆єднаннями</t>
  </si>
  <si>
    <t>3156/2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</si>
  <si>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</si>
  <si>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Інші платежі (розшифрувати)</t>
  </si>
  <si>
    <t>3157/1</t>
  </si>
  <si>
    <t>3157/2</t>
  </si>
  <si>
    <t>3157/3</t>
  </si>
  <si>
    <t>3157/4</t>
  </si>
  <si>
    <t>Інші витрачання (розшифрувати)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</si>
  <si>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</si>
  <si>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</si>
  <si>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>Надходження від реалізації необоротних активів</t>
  </si>
  <si>
    <t>Надходження від отриманих відсотків</t>
  </si>
  <si>
    <t>Надходження дивідендів</t>
  </si>
  <si>
    <t>Надходження від деривативів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</si>
  <si>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</si>
  <si>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</si>
  <si>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>витрачання на придбання акцій та облігацій</t>
  </si>
  <si>
    <t>Витрачання на необоротних активів, у тому числі: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</si>
  <si>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</si>
  <si>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</si>
  <si>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</si>
  <si>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Виплати за деривативами</t>
  </si>
  <si>
    <t>3270/2</t>
  </si>
  <si>
    <t>3270/3</t>
  </si>
  <si>
    <t>3290/1</t>
  </si>
  <si>
    <t>Витрачання грошових коштів від фінансової діяльності</t>
  </si>
  <si>
    <t>Витрачення на сплату відсотків</t>
  </si>
  <si>
    <t>Витрачення на сплату заборгованості з фінансової оренди</t>
  </si>
  <si>
    <t>Чистий рух грошових коштів за звітний період</t>
  </si>
  <si>
    <t>3070/1</t>
  </si>
  <si>
    <t>3070/2</t>
  </si>
  <si>
    <t>1. Дані про підприємство, персонал та витрати на оплату праці*</t>
  </si>
  <si>
    <t>члени наглядової ради</t>
  </si>
  <si>
    <t>члени правління</t>
  </si>
  <si>
    <t>керівник</t>
  </si>
  <si>
    <t>посадовий оклад</t>
  </si>
  <si>
    <t>керівник, усього, у тому числі:</t>
  </si>
  <si>
    <t>преміювання</t>
  </si>
  <si>
    <t xml:space="preserve">інші виплати, передбачені законодавством </t>
  </si>
  <si>
    <t>адміністративно-управлінський працівник</t>
  </si>
  <si>
    <t>працівник</t>
  </si>
  <si>
    <t>член наглядової ради</t>
  </si>
  <si>
    <t>член правління</t>
  </si>
  <si>
    <t>VW 6054 АА</t>
  </si>
  <si>
    <t>Ковенанти/обмежувальні коефіцієнти</t>
  </si>
  <si>
    <t>Коефіцієнт загальної ліквідності (відношення «Оборотні активи» 
до «Поточні зобов'язання»)</t>
  </si>
  <si>
    <t>5300/1</t>
  </si>
  <si>
    <t>&gt; 1,1</t>
  </si>
  <si>
    <t xml:space="preserve">Коефіцієнт покриття процентів (відношення «Прибуток до 
сплати процентів та податків (ЕВІТ)» до «процентні витрати») </t>
  </si>
  <si>
    <t>5300/2</t>
  </si>
  <si>
    <t>&gt; 1,3</t>
  </si>
  <si>
    <t>відновлювальна кредитна лінія з лімітом 30 млн. грн.</t>
  </si>
  <si>
    <t>ПАТ "Укрексімбанк"</t>
  </si>
  <si>
    <t>Майнові права на виручку за договорами</t>
  </si>
  <si>
    <t>30 000 тис.грн.</t>
  </si>
  <si>
    <t>19,6% річних</t>
  </si>
  <si>
    <t>22.05.19 р.</t>
  </si>
  <si>
    <t>використання частини чистого прибутку попередніх періодів</t>
  </si>
  <si>
    <t>01125821</t>
  </si>
  <si>
    <t>50.20 Вантажний морський транспорт</t>
  </si>
  <si>
    <t>Заміна дизель-генераторів на 3 річкових буксирах</t>
  </si>
  <si>
    <t xml:space="preserve">ПрАТ “Українське Дунайське пароплавство” із 100% пакетом акцій, що належать державі в особі Міністерства інфраструктури України (державна корпоративна власність), безпосередньо підпорядковано Департаменту морського та річкового транспорту. 
Українське Дунайське пароплавство було створено в 1944 році під назвою “Радянське Дунайське державне пароплавство” з місцезнаходженням у м. Ізмаїлі та у 1994 р. було перетворено у відкрите акціонерне товариство.
Основними видами діяльності ПрАТ “УДП” є: внутрішні та міжнародні перевезення пасажирів та вантажів морським і річковим транспортом;  суднобудування та судноремонт.
На кінець 9 місяців 2019 року на балансі ПрАТ “УДП” знаходилось 428 суден. 
</t>
  </si>
  <si>
    <t>VW Caravella 0689 СР</t>
  </si>
  <si>
    <t>Приватне акціонерне товариство</t>
  </si>
  <si>
    <t>ПрАТ "Українське Дунайське пароплавство"</t>
  </si>
  <si>
    <t>Електроенергія - 1 641,2; утримання газової котельні- 410,6; ремонт- 417,9; благоустрій території-204,2; вода та стоки-194,9; розподіл електричної енергії - 136,5; траспортування газу - 40,1; інші- 147,8</t>
  </si>
  <si>
    <t>Комісійні з фрахту - 9 820,0; інші - 8,2</t>
  </si>
  <si>
    <t>Реалізація залишків палива при передачі суден у чартер, при реалізації - 6 343,7; КСБСРЗ - 5 195,2</t>
  </si>
  <si>
    <t>Оренда приміщень адміністративних будинків, автомашин тощо - 1 519,4; оренда приміщень Учбового центру - 1360,7; КСБСРЗ - 173,5</t>
  </si>
  <si>
    <t>Відшкодування витрат, комунальних послуг орендарями - 2 829,3; КСБСРЗ -28,1; Учбовий центр - 1 969,2; інші - 152,3</t>
  </si>
  <si>
    <t>Собівартість реалізованих залишків палива річкових суден при передачі у чартер - 6 491,5; КСБСРЗ - 930,8;  інші - 0,1</t>
  </si>
  <si>
    <t>Клуб моряків - 180,4; музей - 132,3; б/в "Судноремонтник" - 911,2; спорткомплекс КСБСРЗ - 405,4</t>
  </si>
  <si>
    <t>Реалізація іноземної валюти - 932,8; ритуальні - 516,0; частина використання нарахованого ПДВ - 810,3; відрахування на соціальні заходи - 390,3; утримання медпункту КСБСРЗ -178,8; інші- 1 426,0</t>
  </si>
  <si>
    <t>Дивіденди СП: DS Панама- 4 369,4; Dunavski Transport D.O.O. - 887,5; United Stevedoring - 576,9; Трансхолд КФТ -3 695,3; Трансшип - 829,2; відсотки банку-125,4; інші-1,3</t>
  </si>
  <si>
    <t>Відсотки банку за кредит</t>
  </si>
  <si>
    <t>Залишкова вартість списаного та реалізованого майна-1 606,6; відповідно Колдоговору виплата допомоги ветеранам при виході на пенсію-863,2; інші - 199,4</t>
  </si>
  <si>
    <t xml:space="preserve">В.о. голови Правління </t>
  </si>
  <si>
    <t>Штрафи за порушення термінів виплат - 410,7; інші - 104</t>
  </si>
  <si>
    <t>Реалізація необоротних активів - 11 714,2; запаси,отримані під час ремонту та модернізації -472,4; доходи від отримання гарантійного внеску -560,1; інші -134,0</t>
  </si>
  <si>
    <t>Пільгова пенсія КСБСРЗ-801,7; транформація агенства ПрАТ "УДП" в Угорщині в Товариство з обмеженою відповідальністю (КТФ) - 613,1; оплата перших 5 днів лікарн.-343,1; представницькі-65,3; канцелярські,пошт.-телеграфні- 121,7; членські внески в асоціацію судновласників - 100,0; охорона праці - 90,3; регістр - 75,3; медичні витрати - 28,8; випуск та зберіг. цінних паперів - 68,5; інші-335,4</t>
  </si>
  <si>
    <t>9 мес</t>
  </si>
  <si>
    <t>В.о. голови Правління</t>
  </si>
  <si>
    <t>Обґрунтування збільшення витрат на оплату праці в поточному році порівняно з установленим рівнем та фактом попереднього року надаються в пояснювальній записці про фінансово-господарську діяльність ПрАТ “УДП” за 2019 рік</t>
  </si>
  <si>
    <t>Звітний період (2019 р.)</t>
  </si>
  <si>
    <t>Факт за 2019 р.</t>
  </si>
  <si>
    <t>до фінансового плану за 2019 р.</t>
  </si>
  <si>
    <t>40 од.</t>
  </si>
  <si>
    <t>Hyundai Sonata 9114 АХ</t>
  </si>
  <si>
    <t>ХОМЯКОВ О.В.</t>
  </si>
  <si>
    <t>за 2019 рік</t>
  </si>
  <si>
    <t>Харчування пасажирів, утримання ресторанів, барів -   31 060,9; раціон харчування екіпажів - 7 519,1; страхування - 5 580,8; послуги охорони - 3 212,0; турист. обслуговування - 1 404,0; контрагентські - 1 166,4; податки - 2 891,8; мастила - 1 665,8; послуги зі стор. - 2 319,8;  відрядження - 823,2; охорона праці - 310,4; медичні витрати - 595,5; собівартість реалізованих товарів - 294,6; послуги катеру - 313,2; утримання засобів звязку - 243,4; інші- 1 729</t>
  </si>
  <si>
    <t>Оренда приміщення офісу в м. Одеса</t>
  </si>
  <si>
    <t>Олексій ХОМЯКОВ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</si>
</sst>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"/>
    <numFmt numFmtId="165" formatCode="[=0]&quot;&quot;;General"/>
    <numFmt numFmtId="166" formatCode="#,##0.0"/>
    <numFmt numFmtId="167" formatCode="0.0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sz val="8"/>
      <color indexed="9"/>
      <name val="Arial"/>
      <family val="2"/>
      <charset val="204"/>
    </font>
    <font>
      <sz val="9"/>
      <color indexed="9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1">
    <xf numFmtId="0" fontId="0" fillId="0" borderId="0" xfId="0"/>
    <xf numFmtId="1" fontId="2" fillId="0" borderId="0" xfId="1" applyNumberFormat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166" fontId="2" fillId="0" borderId="1" xfId="1" quotePrefix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wrapText="1"/>
    </xf>
    <xf numFmtId="0" fontId="4" fillId="0" borderId="0" xfId="1" applyFont="1" applyFill="1" applyBorder="1" applyAlignment="1">
      <alignment horizontal="left" wrapText="1"/>
    </xf>
    <xf numFmtId="1" fontId="3" fillId="0" borderId="1" xfId="1" applyNumberFormat="1" applyFont="1" applyFill="1" applyBorder="1" applyAlignment="1">
      <alignment horizontal="center" wrapText="1"/>
    </xf>
    <xf numFmtId="1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1" fillId="0" borderId="0" xfId="1" applyFill="1"/>
    <xf numFmtId="1" fontId="3" fillId="0" borderId="1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 wrapText="1"/>
    </xf>
    <xf numFmtId="164" fontId="2" fillId="0" borderId="1" xfId="1" applyNumberFormat="1" applyFont="1" applyFill="1" applyBorder="1" applyAlignment="1">
      <alignment horizontal="center" wrapText="1"/>
    </xf>
    <xf numFmtId="0" fontId="3" fillId="0" borderId="2" xfId="1" quotePrefix="1" applyFont="1" applyFill="1" applyBorder="1" applyAlignment="1">
      <alignment horizontal="left" wrapText="1"/>
    </xf>
    <xf numFmtId="0" fontId="7" fillId="0" borderId="0" xfId="1" applyFont="1" applyFill="1" applyAlignment="1">
      <alignment horizontal="left" wrapText="1"/>
    </xf>
    <xf numFmtId="0" fontId="4" fillId="0" borderId="0" xfId="1" applyFont="1" applyFill="1" applyAlignment="1">
      <alignment horizontal="left"/>
    </xf>
    <xf numFmtId="0" fontId="9" fillId="0" borderId="0" xfId="1" applyFont="1" applyFill="1" applyAlignment="1">
      <alignment horizontal="left" wrapText="1"/>
    </xf>
    <xf numFmtId="166" fontId="9" fillId="0" borderId="0" xfId="1" applyNumberFormat="1" applyFont="1" applyFill="1" applyAlignment="1">
      <alignment horizontal="left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0" xfId="1" applyFont="1" applyFill="1"/>
    <xf numFmtId="0" fontId="12" fillId="0" borderId="0" xfId="1" applyFont="1" applyFill="1" applyAlignment="1">
      <alignment horizontal="left" wrapText="1"/>
    </xf>
    <xf numFmtId="0" fontId="1" fillId="0" borderId="0" xfId="1" applyFont="1" applyFill="1"/>
    <xf numFmtId="166" fontId="3" fillId="0" borderId="1" xfId="1" quotePrefix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horizontal="left" wrapText="1"/>
    </xf>
    <xf numFmtId="0" fontId="13" fillId="0" borderId="1" xfId="2" quotePrefix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left" wrapText="1"/>
    </xf>
    <xf numFmtId="0" fontId="17" fillId="0" borderId="0" xfId="1" applyFont="1" applyFill="1" applyAlignment="1">
      <alignment horizontal="left" wrapText="1"/>
    </xf>
    <xf numFmtId="0" fontId="2" fillId="0" borderId="0" xfId="1" applyFont="1" applyFill="1" applyBorder="1" applyAlignment="1">
      <alignment horizontal="left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 vertical="center" wrapText="1"/>
    </xf>
    <xf numFmtId="0" fontId="3" fillId="0" borderId="1" xfId="1" quotePrefix="1" applyFont="1" applyFill="1" applyBorder="1" applyAlignment="1">
      <alignment horizontal="left" vertical="top" wrapText="1"/>
    </xf>
    <xf numFmtId="0" fontId="3" fillId="0" borderId="1" xfId="1" quotePrefix="1" applyFont="1" applyFill="1" applyBorder="1" applyAlignment="1">
      <alignment horizontal="left" wrapText="1"/>
    </xf>
    <xf numFmtId="0" fontId="2" fillId="0" borderId="1" xfId="1" quotePrefix="1" applyFont="1" applyFill="1" applyBorder="1" applyAlignment="1">
      <alignment horizontal="left" vertical="top" wrapText="1"/>
    </xf>
    <xf numFmtId="0" fontId="2" fillId="0" borderId="0" xfId="0" applyFont="1" applyFill="1"/>
    <xf numFmtId="0" fontId="3" fillId="0" borderId="3" xfId="1" applyFont="1" applyFill="1" applyBorder="1" applyAlignment="1">
      <alignment horizontal="left" vertical="center"/>
    </xf>
    <xf numFmtId="0" fontId="2" fillId="0" borderId="3" xfId="1" quotePrefix="1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49" fontId="2" fillId="0" borderId="3" xfId="1" quotePrefix="1" applyNumberFormat="1" applyFont="1" applyFill="1" applyBorder="1" applyAlignment="1">
      <alignment horizontal="left" vertical="center" wrapText="1"/>
    </xf>
    <xf numFmtId="0" fontId="2" fillId="0" borderId="3" xfId="1" applyNumberFormat="1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justify" vertical="top" wrapText="1"/>
    </xf>
    <xf numFmtId="2" fontId="6" fillId="0" borderId="1" xfId="1" applyNumberFormat="1" applyFont="1" applyFill="1" applyBorder="1" applyAlignment="1">
      <alignment horizontal="justify" vertical="top" wrapText="1"/>
    </xf>
    <xf numFmtId="2" fontId="6" fillId="0" borderId="1" xfId="1" quotePrefix="1" applyNumberFormat="1" applyFont="1" applyFill="1" applyBorder="1" applyAlignment="1">
      <alignment horizontal="justify" wrapText="1"/>
    </xf>
    <xf numFmtId="2" fontId="6" fillId="0" borderId="1" xfId="1" quotePrefix="1" applyNumberFormat="1" applyFont="1" applyFill="1" applyBorder="1" applyAlignment="1">
      <alignment horizontal="justify" vertical="top" wrapText="1"/>
    </xf>
    <xf numFmtId="2" fontId="6" fillId="0" borderId="1" xfId="1" quotePrefix="1" applyNumberFormat="1" applyFont="1" applyFill="1" applyBorder="1" applyAlignment="1">
      <alignment horizontal="justify" vertical="center" wrapText="1"/>
    </xf>
    <xf numFmtId="2" fontId="6" fillId="0" borderId="4" xfId="1" applyNumberFormat="1" applyFont="1" applyFill="1" applyBorder="1" applyAlignment="1">
      <alignment horizontal="justify" wrapText="1"/>
    </xf>
    <xf numFmtId="166" fontId="2" fillId="0" borderId="3" xfId="1" applyNumberFormat="1" applyFont="1" applyFill="1" applyBorder="1" applyAlignment="1">
      <alignment horizontal="righ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6" fontId="6" fillId="0" borderId="1" xfId="1" quotePrefix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wrapText="1"/>
    </xf>
    <xf numFmtId="167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wrapText="1"/>
    </xf>
    <xf numFmtId="1" fontId="2" fillId="0" borderId="1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top" wrapText="1"/>
    </xf>
    <xf numFmtId="0" fontId="2" fillId="0" borderId="1" xfId="1" quotePrefix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wrapText="1"/>
    </xf>
    <xf numFmtId="0" fontId="2" fillId="0" borderId="1" xfId="1" quotePrefix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0" fontId="8" fillId="0" borderId="0" xfId="1" quotePrefix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top" wrapText="1"/>
    </xf>
    <xf numFmtId="1" fontId="13" fillId="0" borderId="1" xfId="1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 wrapText="1"/>
    </xf>
    <xf numFmtId="2" fontId="6" fillId="0" borderId="1" xfId="1" quotePrefix="1" applyNumberFormat="1" applyFont="1" applyFill="1" applyBorder="1" applyAlignment="1">
      <alignment horizontal="left" vertical="center" wrapText="1"/>
    </xf>
    <xf numFmtId="0" fontId="4" fillId="0" borderId="0" xfId="1" quotePrefix="1" applyFont="1" applyFill="1" applyBorder="1" applyAlignment="1">
      <alignment horizontal="left" wrapText="1"/>
    </xf>
    <xf numFmtId="166" fontId="2" fillId="0" borderId="0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wrapText="1"/>
    </xf>
    <xf numFmtId="0" fontId="1" fillId="0" borderId="0" xfId="1" applyFont="1" applyFill="1" applyBorder="1"/>
    <xf numFmtId="0" fontId="19" fillId="0" borderId="0" xfId="1" applyFont="1" applyFill="1" applyAlignment="1">
      <alignment horizontal="left" wrapText="1"/>
    </xf>
    <xf numFmtId="0" fontId="19" fillId="0" borderId="0" xfId="1" applyFont="1" applyFill="1" applyBorder="1" applyAlignment="1">
      <alignment horizontal="left" wrapText="1"/>
    </xf>
    <xf numFmtId="0" fontId="19" fillId="0" borderId="0" xfId="1" quotePrefix="1" applyFont="1" applyFill="1" applyBorder="1" applyAlignment="1">
      <alignment horizontal="left" wrapText="1"/>
    </xf>
    <xf numFmtId="166" fontId="19" fillId="0" borderId="0" xfId="1" applyNumberFormat="1" applyFont="1" applyFill="1" applyAlignment="1">
      <alignment horizontal="left" wrapText="1"/>
    </xf>
    <xf numFmtId="0" fontId="20" fillId="0" borderId="0" xfId="1" applyFont="1" applyFill="1" applyAlignment="1">
      <alignment horizontal="left" wrapText="1"/>
    </xf>
    <xf numFmtId="0" fontId="20" fillId="0" borderId="0" xfId="1" applyFont="1" applyFill="1" applyBorder="1" applyAlignment="1">
      <alignment horizontal="left" wrapText="1"/>
    </xf>
    <xf numFmtId="0" fontId="21" fillId="0" borderId="0" xfId="1" applyFont="1" applyFill="1"/>
    <xf numFmtId="0" fontId="21" fillId="0" borderId="0" xfId="1" applyFont="1" applyFill="1" applyBorder="1"/>
    <xf numFmtId="167" fontId="6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2" fillId="0" borderId="1" xfId="1" quotePrefix="1" applyFont="1" applyFill="1" applyBorder="1" applyAlignment="1">
      <alignment horizontal="left" vertical="center" wrapText="1"/>
    </xf>
    <xf numFmtId="0" fontId="13" fillId="0" borderId="1" xfId="1" quotePrefix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3" fillId="0" borderId="0" xfId="1" applyFont="1" applyFill="1" applyAlignment="1">
      <alignment horizontal="center" wrapText="1"/>
    </xf>
    <xf numFmtId="0" fontId="2" fillId="0" borderId="1" xfId="1" quotePrefix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5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left" wrapText="1"/>
    </xf>
    <xf numFmtId="0" fontId="3" fillId="0" borderId="0" xfId="1" quotePrefix="1" applyFont="1" applyFill="1" applyAlignment="1">
      <alignment horizontal="center" wrapText="1"/>
    </xf>
    <xf numFmtId="0" fontId="3" fillId="0" borderId="6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wrapText="1"/>
    </xf>
    <xf numFmtId="0" fontId="3" fillId="0" borderId="11" xfId="1" quotePrefix="1" applyFont="1" applyFill="1" applyBorder="1" applyAlignment="1">
      <alignment horizontal="center" wrapText="1"/>
    </xf>
    <xf numFmtId="0" fontId="3" fillId="0" borderId="11" xfId="1" applyFont="1" applyFill="1" applyBorder="1" applyAlignment="1">
      <alignment horizontal="center" wrapText="1"/>
    </xf>
    <xf numFmtId="0" fontId="2" fillId="0" borderId="5" xfId="1" quotePrefix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wrapText="1"/>
    </xf>
    <xf numFmtId="0" fontId="2" fillId="0" borderId="1" xfId="1" quotePrefix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left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3" fillId="0" borderId="5" xfId="1" quotePrefix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0" xfId="1" quotePrefix="1" applyFont="1" applyFill="1" applyAlignment="1">
      <alignment horizontal="left" wrapText="1"/>
    </xf>
    <xf numFmtId="0" fontId="3" fillId="0" borderId="0" xfId="1" applyFont="1" applyFill="1" applyAlignment="1">
      <alignment horizontal="left" wrapText="1"/>
    </xf>
    <xf numFmtId="0" fontId="6" fillId="0" borderId="0" xfId="1" applyFont="1" applyFill="1" applyAlignment="1">
      <alignment horizontal="center" vertical="top" wrapText="1"/>
    </xf>
    <xf numFmtId="0" fontId="1" fillId="0" borderId="2" xfId="1" quotePrefix="1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left" vertical="top" wrapText="1"/>
    </xf>
    <xf numFmtId="1" fontId="2" fillId="0" borderId="5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2" fillId="0" borderId="5" xfId="1" quotePrefix="1" applyFont="1" applyFill="1" applyBorder="1" applyAlignment="1">
      <alignment horizontal="left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0" fontId="2" fillId="0" borderId="1" xfId="1" quotePrefix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8" fillId="0" borderId="0" xfId="1" quotePrefix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6" fillId="0" borderId="0" xfId="1" quotePrefix="1" applyFont="1" applyFill="1" applyAlignment="1">
      <alignment horizontal="left" wrapText="1"/>
    </xf>
    <xf numFmtId="0" fontId="6" fillId="0" borderId="0" xfId="1" applyFont="1" applyFill="1" applyAlignment="1">
      <alignment horizontal="left" wrapText="1"/>
    </xf>
    <xf numFmtId="3" fontId="2" fillId="0" borderId="1" xfId="1" applyNumberFormat="1" applyFont="1" applyFill="1" applyBorder="1" applyAlignment="1">
      <alignment horizontal="center" vertical="center" wrapText="1"/>
    </xf>
    <xf numFmtId="49" fontId="8" fillId="0" borderId="3" xfId="0" quotePrefix="1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6" fontId="8" fillId="0" borderId="3" xfId="0" quotePrefix="1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3" fontId="8" fillId="0" borderId="3" xfId="0" quotePrefix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6" fontId="2" fillId="0" borderId="9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left" wrapText="1"/>
    </xf>
    <xf numFmtId="0" fontId="13" fillId="0" borderId="1" xfId="1" applyFont="1" applyFill="1" applyBorder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1" fontId="13" fillId="0" borderId="6" xfId="1" applyNumberFormat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167" fontId="13" fillId="0" borderId="1" xfId="1" applyNumberFormat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7" fontId="13" fillId="0" borderId="5" xfId="1" applyNumberFormat="1" applyFont="1" applyFill="1" applyBorder="1" applyAlignment="1">
      <alignment horizontal="center" vertical="center" wrapText="1"/>
    </xf>
    <xf numFmtId="167" fontId="13" fillId="0" borderId="7" xfId="1" applyNumberFormat="1" applyFont="1" applyFill="1" applyBorder="1" applyAlignment="1">
      <alignment horizontal="center" vertical="center" wrapText="1"/>
    </xf>
    <xf numFmtId="167" fontId="13" fillId="0" borderId="8" xfId="1" applyNumberFormat="1" applyFont="1" applyFill="1" applyBorder="1" applyAlignment="1">
      <alignment horizontal="center" vertical="center" wrapText="1"/>
    </xf>
    <xf numFmtId="0" fontId="13" fillId="0" borderId="6" xfId="1" quotePrefix="1" applyFont="1" applyFill="1" applyBorder="1" applyAlignment="1">
      <alignment horizontal="center" vertical="center" wrapText="1"/>
    </xf>
    <xf numFmtId="166" fontId="13" fillId="0" borderId="5" xfId="1" applyNumberFormat="1" applyFont="1" applyFill="1" applyBorder="1" applyAlignment="1">
      <alignment horizontal="center" vertical="center" wrapText="1"/>
    </xf>
    <xf numFmtId="166" fontId="13" fillId="0" borderId="7" xfId="1" applyNumberFormat="1" applyFont="1" applyFill="1" applyBorder="1" applyAlignment="1">
      <alignment horizontal="center" vertical="center" wrapText="1"/>
    </xf>
    <xf numFmtId="166" fontId="13" fillId="0" borderId="8" xfId="1" applyNumberFormat="1" applyFont="1" applyFill="1" applyBorder="1" applyAlignment="1">
      <alignment horizontal="center" vertical="center" wrapText="1"/>
    </xf>
    <xf numFmtId="0" fontId="13" fillId="0" borderId="1" xfId="1" quotePrefix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3" fillId="0" borderId="1" xfId="1" quotePrefix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top" wrapText="1"/>
    </xf>
    <xf numFmtId="0" fontId="17" fillId="0" borderId="2" xfId="1" quotePrefix="1" applyFont="1" applyFill="1" applyBorder="1" applyAlignment="1">
      <alignment horizontal="center" wrapText="1"/>
    </xf>
    <xf numFmtId="0" fontId="17" fillId="0" borderId="2" xfId="1" applyFont="1" applyFill="1" applyBorder="1" applyAlignment="1">
      <alignment horizontal="center" wrapText="1"/>
    </xf>
    <xf numFmtId="0" fontId="17" fillId="0" borderId="0" xfId="1" quotePrefix="1" applyFont="1" applyFill="1" applyBorder="1" applyAlignment="1">
      <alignment horizontal="left" wrapText="1"/>
    </xf>
    <xf numFmtId="0" fontId="17" fillId="0" borderId="2" xfId="1" applyFont="1" applyFill="1" applyBorder="1" applyAlignment="1">
      <alignment horizontal="left" wrapText="1"/>
    </xf>
    <xf numFmtId="0" fontId="13" fillId="0" borderId="0" xfId="1" applyFont="1" applyFill="1" applyAlignment="1">
      <alignment horizontal="left" wrapText="1"/>
    </xf>
  </cellXfs>
  <cellStyles count="3">
    <cellStyle name="Обычный" xfId="0" builtinId="0"/>
    <cellStyle name="Обычный 2" xfId="1"/>
    <cellStyle name="Обычный 2 1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174"/>
  <sheetViews>
    <sheetView tabSelected="1" zoomScaleNormal="100" workbookViewId="0">
      <selection activeCell="B8" sqref="B8:F8"/>
    </sheetView>
  </sheetViews>
  <sheetFormatPr defaultColWidth="8.7109375" defaultRowHeight="11.45" customHeight="1" x14ac:dyDescent="0.2"/>
  <cols>
    <col min="1" max="1" width="51" style="59" customWidth="1"/>
    <col min="2" max="2" width="10.85546875" style="59" customWidth="1"/>
    <col min="3" max="8" width="13.42578125" style="59" customWidth="1"/>
    <col min="9" max="16384" width="8.7109375" style="11"/>
  </cols>
  <sheetData>
    <row r="1" spans="1:8" s="59" customFormat="1" ht="12.95" customHeight="1" x14ac:dyDescent="0.2">
      <c r="E1" s="114" t="s">
        <v>0</v>
      </c>
      <c r="F1" s="114"/>
      <c r="G1" s="114"/>
      <c r="H1" s="114"/>
    </row>
    <row r="2" spans="1:8" s="59" customFormat="1" ht="12.95" customHeight="1" x14ac:dyDescent="0.2">
      <c r="E2" s="114" t="s">
        <v>1</v>
      </c>
      <c r="F2" s="114"/>
      <c r="G2" s="114"/>
      <c r="H2" s="114"/>
    </row>
    <row r="3" spans="1:8" s="59" customFormat="1" ht="12.95" customHeight="1" x14ac:dyDescent="0.2">
      <c r="A3" s="129"/>
      <c r="B3" s="129"/>
      <c r="E3" s="114" t="s">
        <v>2</v>
      </c>
      <c r="F3" s="114"/>
      <c r="G3" s="114"/>
      <c r="H3" s="114"/>
    </row>
    <row r="4" spans="1:8" s="59" customFormat="1" ht="12.75" customHeight="1" x14ac:dyDescent="0.2">
      <c r="E4" s="114" t="s">
        <v>3</v>
      </c>
      <c r="F4" s="114"/>
      <c r="G4" s="114"/>
      <c r="H4" s="114"/>
    </row>
    <row r="5" spans="1:8" s="59" customFormat="1" ht="12.95" customHeight="1" x14ac:dyDescent="0.2">
      <c r="E5" s="114" t="s">
        <v>4</v>
      </c>
      <c r="F5" s="114"/>
      <c r="G5" s="114"/>
      <c r="H5" s="114"/>
    </row>
    <row r="6" spans="1:8" s="59" customFormat="1" ht="12.95" customHeight="1" x14ac:dyDescent="0.2"/>
    <row r="7" spans="1:8" s="59" customFormat="1" ht="26.1" customHeight="1" x14ac:dyDescent="0.2">
      <c r="A7" s="123"/>
      <c r="B7" s="123"/>
      <c r="C7" s="123"/>
      <c r="D7" s="123"/>
      <c r="E7" s="123"/>
      <c r="F7" s="123"/>
      <c r="G7" s="62"/>
      <c r="H7" s="61" t="s">
        <v>5</v>
      </c>
    </row>
    <row r="8" spans="1:8" s="59" customFormat="1" ht="12.95" customHeight="1" x14ac:dyDescent="0.2">
      <c r="A8" s="61" t="s">
        <v>6</v>
      </c>
      <c r="B8" s="115" t="s">
        <v>7</v>
      </c>
      <c r="C8" s="115"/>
      <c r="D8" s="115"/>
      <c r="E8" s="115"/>
      <c r="F8" s="115"/>
      <c r="G8" s="60" t="s">
        <v>8</v>
      </c>
      <c r="H8" s="14">
        <v>1125821</v>
      </c>
    </row>
    <row r="9" spans="1:8" s="59" customFormat="1" ht="12.95" customHeight="1" x14ac:dyDescent="0.2">
      <c r="A9" s="61" t="s">
        <v>9</v>
      </c>
      <c r="B9" s="115" t="s">
        <v>579</v>
      </c>
      <c r="C9" s="115"/>
      <c r="D9" s="115"/>
      <c r="E9" s="115"/>
      <c r="F9" s="115"/>
      <c r="G9" s="60" t="s">
        <v>10</v>
      </c>
      <c r="H9" s="9" t="s">
        <v>11</v>
      </c>
    </row>
    <row r="10" spans="1:8" s="59" customFormat="1" ht="12.95" customHeight="1" x14ac:dyDescent="0.2">
      <c r="A10" s="61" t="s">
        <v>12</v>
      </c>
      <c r="B10" s="115" t="s">
        <v>13</v>
      </c>
      <c r="C10" s="115"/>
      <c r="D10" s="115"/>
      <c r="E10" s="115"/>
      <c r="F10" s="115"/>
      <c r="G10" s="60" t="s">
        <v>14</v>
      </c>
      <c r="H10" s="9" t="s">
        <v>15</v>
      </c>
    </row>
    <row r="11" spans="1:8" s="59" customFormat="1" ht="12.95" customHeight="1" x14ac:dyDescent="0.2">
      <c r="A11" s="61" t="s">
        <v>16</v>
      </c>
      <c r="B11" s="115" t="s">
        <v>17</v>
      </c>
      <c r="C11" s="115"/>
      <c r="D11" s="115"/>
      <c r="E11" s="115"/>
      <c r="F11" s="115"/>
      <c r="G11" s="60" t="s">
        <v>18</v>
      </c>
      <c r="H11" s="9" t="s">
        <v>19</v>
      </c>
    </row>
    <row r="12" spans="1:8" s="59" customFormat="1" ht="12.95" customHeight="1" x14ac:dyDescent="0.2">
      <c r="A12" s="61" t="s">
        <v>20</v>
      </c>
      <c r="B12" s="121" t="s">
        <v>21</v>
      </c>
      <c r="C12" s="121"/>
      <c r="D12" s="121"/>
      <c r="E12" s="121"/>
      <c r="F12" s="121"/>
      <c r="G12" s="60" t="s">
        <v>22</v>
      </c>
      <c r="H12" s="9" t="s">
        <v>23</v>
      </c>
    </row>
    <row r="13" spans="1:8" s="59" customFormat="1" ht="12.95" customHeight="1" x14ac:dyDescent="0.2">
      <c r="A13" s="61" t="s">
        <v>24</v>
      </c>
      <c r="B13" s="121" t="s">
        <v>25</v>
      </c>
      <c r="C13" s="121"/>
      <c r="D13" s="121"/>
      <c r="E13" s="121"/>
      <c r="F13" s="121"/>
      <c r="G13" s="60" t="s">
        <v>26</v>
      </c>
      <c r="H13" s="9" t="s">
        <v>27</v>
      </c>
    </row>
    <row r="14" spans="1:8" s="59" customFormat="1" ht="12.95" customHeight="1" x14ac:dyDescent="0.2">
      <c r="A14" s="115" t="s">
        <v>28</v>
      </c>
      <c r="B14" s="115"/>
      <c r="C14" s="115"/>
      <c r="D14" s="115"/>
      <c r="E14" s="115" t="s">
        <v>29</v>
      </c>
      <c r="F14" s="115"/>
      <c r="G14" s="119" t="s">
        <v>437</v>
      </c>
      <c r="H14" s="120"/>
    </row>
    <row r="15" spans="1:8" s="59" customFormat="1" ht="15.75" customHeight="1" x14ac:dyDescent="0.2">
      <c r="A15" s="61" t="s">
        <v>30</v>
      </c>
      <c r="B15" s="123" t="s">
        <v>31</v>
      </c>
      <c r="C15" s="123"/>
      <c r="D15" s="123"/>
      <c r="E15" s="123" t="s">
        <v>32</v>
      </c>
      <c r="F15" s="123"/>
      <c r="G15" s="122"/>
      <c r="H15" s="122"/>
    </row>
    <row r="16" spans="1:8" s="59" customFormat="1" ht="12.95" customHeight="1" x14ac:dyDescent="0.2">
      <c r="A16" s="61" t="s">
        <v>33</v>
      </c>
      <c r="B16" s="132">
        <v>1597</v>
      </c>
      <c r="C16" s="132"/>
      <c r="D16" s="124"/>
      <c r="E16" s="124"/>
      <c r="F16" s="124"/>
      <c r="G16" s="124"/>
      <c r="H16" s="124"/>
    </row>
    <row r="17" spans="1:8" s="59" customFormat="1" ht="12.95" customHeight="1" x14ac:dyDescent="0.2">
      <c r="A17" s="61" t="s">
        <v>34</v>
      </c>
      <c r="B17" s="117" t="s">
        <v>492</v>
      </c>
      <c r="C17" s="118"/>
      <c r="D17" s="118"/>
      <c r="E17" s="118"/>
      <c r="F17" s="118"/>
      <c r="G17" s="118"/>
      <c r="H17" s="118"/>
    </row>
    <row r="18" spans="1:8" s="59" customFormat="1" ht="12.95" customHeight="1" x14ac:dyDescent="0.2">
      <c r="A18" s="61" t="s">
        <v>35</v>
      </c>
      <c r="B18" s="118" t="s">
        <v>36</v>
      </c>
      <c r="C18" s="118"/>
      <c r="D18" s="118"/>
      <c r="E18" s="118"/>
      <c r="F18" s="118"/>
      <c r="G18" s="118"/>
      <c r="H18" s="118"/>
    </row>
    <row r="19" spans="1:8" s="59" customFormat="1" ht="12.95" customHeight="1" x14ac:dyDescent="0.2">
      <c r="A19" s="61" t="s">
        <v>37</v>
      </c>
      <c r="B19" s="117" t="s">
        <v>604</v>
      </c>
      <c r="C19" s="118"/>
      <c r="D19" s="118"/>
      <c r="E19" s="118"/>
      <c r="F19" s="118"/>
      <c r="G19" s="118"/>
      <c r="H19" s="118"/>
    </row>
    <row r="20" spans="1:8" s="59" customFormat="1" ht="12.95" customHeight="1" x14ac:dyDescent="0.2">
      <c r="A20" s="63"/>
      <c r="B20" s="63"/>
      <c r="C20" s="63"/>
      <c r="D20" s="63"/>
      <c r="E20" s="63"/>
      <c r="F20" s="63"/>
      <c r="G20" s="63"/>
      <c r="H20" s="63"/>
    </row>
    <row r="21" spans="1:8" s="59" customFormat="1" ht="12.95" customHeight="1" x14ac:dyDescent="0.2">
      <c r="A21" s="116" t="s">
        <v>38</v>
      </c>
      <c r="B21" s="116"/>
      <c r="C21" s="116"/>
      <c r="D21" s="116"/>
      <c r="E21" s="116"/>
      <c r="F21" s="116"/>
      <c r="G21" s="116"/>
      <c r="H21" s="116"/>
    </row>
    <row r="22" spans="1:8" s="59" customFormat="1" ht="12.95" customHeight="1" x14ac:dyDescent="0.2">
      <c r="A22" s="133" t="s">
        <v>496</v>
      </c>
      <c r="B22" s="116"/>
      <c r="C22" s="116"/>
      <c r="D22" s="116"/>
      <c r="E22" s="116"/>
      <c r="F22" s="116"/>
      <c r="G22" s="116"/>
      <c r="H22" s="116"/>
    </row>
    <row r="23" spans="1:8" s="59" customFormat="1" ht="12.95" customHeight="1" x14ac:dyDescent="0.2">
      <c r="A23" s="116" t="s">
        <v>493</v>
      </c>
      <c r="B23" s="116"/>
      <c r="C23" s="116"/>
      <c r="D23" s="116"/>
      <c r="E23" s="116"/>
      <c r="F23" s="116"/>
      <c r="G23" s="116"/>
      <c r="H23" s="116"/>
    </row>
    <row r="24" spans="1:8" s="59" customFormat="1" ht="12.95" customHeight="1" x14ac:dyDescent="0.2">
      <c r="A24" s="133" t="s">
        <v>605</v>
      </c>
      <c r="B24" s="116"/>
      <c r="C24" s="116"/>
      <c r="D24" s="116"/>
      <c r="E24" s="116"/>
      <c r="F24" s="116"/>
      <c r="G24" s="116"/>
      <c r="H24" s="116"/>
    </row>
    <row r="25" spans="1:8" s="59" customFormat="1" ht="12" customHeight="1" x14ac:dyDescent="0.2">
      <c r="A25" s="116" t="s">
        <v>39</v>
      </c>
      <c r="B25" s="116"/>
      <c r="C25" s="116"/>
      <c r="D25" s="116"/>
      <c r="E25" s="116"/>
      <c r="F25" s="116"/>
      <c r="G25" s="116"/>
      <c r="H25" s="116"/>
    </row>
    <row r="26" spans="1:8" s="59" customFormat="1" ht="6.75" customHeight="1" x14ac:dyDescent="0.2"/>
    <row r="27" spans="1:8" s="59" customFormat="1" ht="28.5" customHeight="1" x14ac:dyDescent="0.2">
      <c r="A27" s="127" t="s">
        <v>40</v>
      </c>
      <c r="B27" s="127" t="s">
        <v>41</v>
      </c>
      <c r="C27" s="130" t="s">
        <v>42</v>
      </c>
      <c r="D27" s="131"/>
      <c r="E27" s="138" t="s">
        <v>599</v>
      </c>
      <c r="F27" s="139"/>
      <c r="G27" s="139"/>
      <c r="H27" s="131"/>
    </row>
    <row r="28" spans="1:8" s="59" customFormat="1" ht="12.95" customHeight="1" x14ac:dyDescent="0.2">
      <c r="A28" s="128"/>
      <c r="B28" s="128"/>
      <c r="C28" s="65" t="s">
        <v>43</v>
      </c>
      <c r="D28" s="64" t="s">
        <v>44</v>
      </c>
      <c r="E28" s="65" t="s">
        <v>45</v>
      </c>
      <c r="F28" s="65" t="s">
        <v>46</v>
      </c>
      <c r="G28" s="65" t="s">
        <v>47</v>
      </c>
      <c r="H28" s="65" t="s">
        <v>48</v>
      </c>
    </row>
    <row r="29" spans="1:8" s="59" customFormat="1" ht="12.95" customHeight="1" x14ac:dyDescent="0.2">
      <c r="A29" s="71">
        <v>1</v>
      </c>
      <c r="B29" s="71">
        <v>2</v>
      </c>
      <c r="C29" s="71">
        <v>3</v>
      </c>
      <c r="D29" s="1">
        <v>4</v>
      </c>
      <c r="E29" s="71">
        <v>5</v>
      </c>
      <c r="F29" s="71">
        <v>6</v>
      </c>
      <c r="G29" s="71">
        <v>7</v>
      </c>
      <c r="H29" s="71">
        <v>8</v>
      </c>
    </row>
    <row r="30" spans="1:8" s="59" customFormat="1" ht="12.95" customHeight="1" x14ac:dyDescent="0.2">
      <c r="A30" s="140" t="s">
        <v>49</v>
      </c>
      <c r="B30" s="141"/>
      <c r="C30" s="141"/>
      <c r="D30" s="141"/>
      <c r="E30" s="141"/>
      <c r="F30" s="141"/>
      <c r="G30" s="141"/>
      <c r="H30" s="142"/>
    </row>
    <row r="31" spans="1:8" s="59" customFormat="1" ht="12.95" customHeight="1" x14ac:dyDescent="0.2">
      <c r="A31" s="2" t="s">
        <v>50</v>
      </c>
      <c r="B31" s="71">
        <v>1000</v>
      </c>
      <c r="C31" s="68">
        <f>'I. Формування фін. рез.'!C7</f>
        <v>890571</v>
      </c>
      <c r="D31" s="68">
        <f>'I. Формування фін. рез.'!D7</f>
        <v>873530</v>
      </c>
      <c r="E31" s="68">
        <f>'I. Формування фін. рез.'!E7</f>
        <v>979270</v>
      </c>
      <c r="F31" s="68">
        <f>'I. Формування фін. рез.'!F7</f>
        <v>873530</v>
      </c>
      <c r="G31" s="68">
        <f>F31-E31</f>
        <v>-105740</v>
      </c>
      <c r="H31" s="68">
        <f>F31/E31*100</f>
        <v>89.202160793243948</v>
      </c>
    </row>
    <row r="32" spans="1:8" s="59" customFormat="1" ht="12.95" customHeight="1" x14ac:dyDescent="0.2">
      <c r="A32" s="2" t="s">
        <v>52</v>
      </c>
      <c r="B32" s="71">
        <v>1010</v>
      </c>
      <c r="C32" s="68">
        <f>'I. Формування фін. рез.'!C8</f>
        <v>-820149</v>
      </c>
      <c r="D32" s="68">
        <f>'I. Формування фін. рез.'!D8</f>
        <v>-813811</v>
      </c>
      <c r="E32" s="68">
        <f>'I. Формування фін. рез.'!E8</f>
        <v>-899665</v>
      </c>
      <c r="F32" s="68">
        <f>'I. Формування фін. рез.'!F8</f>
        <v>-813811</v>
      </c>
      <c r="G32" s="68">
        <f t="shared" ref="G32:G68" si="0">F32-E32</f>
        <v>85854</v>
      </c>
      <c r="H32" s="68">
        <f>F32/E32*100</f>
        <v>90.457114592653937</v>
      </c>
    </row>
    <row r="33" spans="1:8" s="59" customFormat="1" ht="12.95" customHeight="1" x14ac:dyDescent="0.2">
      <c r="A33" s="3" t="s">
        <v>53</v>
      </c>
      <c r="B33" s="12">
        <v>1020</v>
      </c>
      <c r="C33" s="69">
        <f>SUM(C31:C32)</f>
        <v>70422</v>
      </c>
      <c r="D33" s="69">
        <f>SUM(D31:D32)</f>
        <v>59719</v>
      </c>
      <c r="E33" s="69">
        <f>SUM(E31:E32)</f>
        <v>79605</v>
      </c>
      <c r="F33" s="69">
        <f>SUM(F31:F32)</f>
        <v>59719</v>
      </c>
      <c r="G33" s="69">
        <f t="shared" si="0"/>
        <v>-19886</v>
      </c>
      <c r="H33" s="69">
        <f>F33/E33*100</f>
        <v>75.019157088122597</v>
      </c>
    </row>
    <row r="34" spans="1:8" s="59" customFormat="1" ht="12.95" customHeight="1" x14ac:dyDescent="0.2">
      <c r="A34" s="61" t="s">
        <v>54</v>
      </c>
      <c r="B34" s="71">
        <v>1030</v>
      </c>
      <c r="C34" s="68">
        <f>'I. Формування фін. рез.'!C21</f>
        <v>-77521</v>
      </c>
      <c r="D34" s="68">
        <f>'I. Формування фін. рез.'!D21</f>
        <v>-83252</v>
      </c>
      <c r="E34" s="68">
        <f>'I. Формування фін. рез.'!E21</f>
        <v>-86445</v>
      </c>
      <c r="F34" s="68">
        <f>'I. Формування фін. рез.'!F21</f>
        <v>-83252</v>
      </c>
      <c r="G34" s="68">
        <f t="shared" si="0"/>
        <v>3193</v>
      </c>
      <c r="H34" s="68">
        <f>F34/E34*100</f>
        <v>96.306321938805013</v>
      </c>
    </row>
    <row r="35" spans="1:8" s="59" customFormat="1" ht="23.25" customHeight="1" x14ac:dyDescent="0.2">
      <c r="A35" s="61" t="s">
        <v>55</v>
      </c>
      <c r="B35" s="71">
        <v>1031</v>
      </c>
      <c r="C35" s="68">
        <f>'I. Формування фін. рез.'!C22</f>
        <v>-1746.8</v>
      </c>
      <c r="D35" s="68">
        <f>'I. Формування фін. рез.'!D22</f>
        <v>-1065.2</v>
      </c>
      <c r="E35" s="68">
        <f>'I. Формування фін. рез.'!E22</f>
        <v>-1115</v>
      </c>
      <c r="F35" s="68">
        <f>'I. Формування фін. рез.'!F22</f>
        <v>-1065.2</v>
      </c>
      <c r="G35" s="68">
        <f t="shared" si="0"/>
        <v>49.799999999999955</v>
      </c>
      <c r="H35" s="68">
        <f>F35/E35*100</f>
        <v>95.533632286995513</v>
      </c>
    </row>
    <row r="36" spans="1:8" s="59" customFormat="1" ht="12.95" customHeight="1" x14ac:dyDescent="0.2">
      <c r="A36" s="61" t="s">
        <v>56</v>
      </c>
      <c r="B36" s="71">
        <v>1032</v>
      </c>
      <c r="C36" s="68" t="str">
        <f>'I. Формування фін. рез.'!C23</f>
        <v>0,0</v>
      </c>
      <c r="D36" s="68" t="str">
        <f>'I. Формування фін. рез.'!D23</f>
        <v>0,0</v>
      </c>
      <c r="E36" s="68" t="str">
        <f>'I. Формування фін. рез.'!E23</f>
        <v>0,0</v>
      </c>
      <c r="F36" s="68" t="str">
        <f>'I. Формування фін. рез.'!F23</f>
        <v>0,0</v>
      </c>
      <c r="G36" s="68">
        <f t="shared" si="0"/>
        <v>0</v>
      </c>
      <c r="H36" s="68">
        <v>0</v>
      </c>
    </row>
    <row r="37" spans="1:8" s="59" customFormat="1" ht="12.95" customHeight="1" x14ac:dyDescent="0.2">
      <c r="A37" s="61" t="s">
        <v>57</v>
      </c>
      <c r="B37" s="71">
        <v>1033</v>
      </c>
      <c r="C37" s="68" t="str">
        <f>'I. Формування фін. рез.'!C24</f>
        <v>0,0</v>
      </c>
      <c r="D37" s="68" t="str">
        <f>'I. Формування фін. рез.'!D24</f>
        <v>0,0</v>
      </c>
      <c r="E37" s="68" t="str">
        <f>'I. Формування фін. рез.'!E24</f>
        <v>0,0</v>
      </c>
      <c r="F37" s="68" t="str">
        <f>'I. Формування фін. рез.'!F24</f>
        <v>0,0</v>
      </c>
      <c r="G37" s="68">
        <f t="shared" si="0"/>
        <v>0</v>
      </c>
      <c r="H37" s="68">
        <v>0</v>
      </c>
    </row>
    <row r="38" spans="1:8" s="59" customFormat="1" ht="12.95" customHeight="1" x14ac:dyDescent="0.2">
      <c r="A38" s="61" t="s">
        <v>58</v>
      </c>
      <c r="B38" s="71">
        <v>1034</v>
      </c>
      <c r="C38" s="68" t="str">
        <f>'I. Формування фін. рез.'!C25</f>
        <v>0,0</v>
      </c>
      <c r="D38" s="68" t="str">
        <f>'I. Формування фін. рез.'!D25</f>
        <v>0,0</v>
      </c>
      <c r="E38" s="68">
        <f>'I. Формування фін. рез.'!E25</f>
        <v>-20</v>
      </c>
      <c r="F38" s="68" t="str">
        <f>'I. Формування фін. рез.'!F25</f>
        <v>0,0</v>
      </c>
      <c r="G38" s="68">
        <f t="shared" si="0"/>
        <v>20</v>
      </c>
      <c r="H38" s="68">
        <f>F38/E38*100</f>
        <v>0</v>
      </c>
    </row>
    <row r="39" spans="1:8" s="59" customFormat="1" ht="12.95" customHeight="1" x14ac:dyDescent="0.2">
      <c r="A39" s="61" t="s">
        <v>59</v>
      </c>
      <c r="B39" s="71">
        <v>1035</v>
      </c>
      <c r="C39" s="68">
        <f>'I. Формування фін. рез.'!C26</f>
        <v>0</v>
      </c>
      <c r="D39" s="68">
        <f>'I. Формування фін. рез.'!D26</f>
        <v>0</v>
      </c>
      <c r="E39" s="68">
        <f>'I. Формування фін. рез.'!E26</f>
        <v>-300</v>
      </c>
      <c r="F39" s="68">
        <f>'I. Формування фін. рез.'!F26</f>
        <v>0</v>
      </c>
      <c r="G39" s="68">
        <f t="shared" si="0"/>
        <v>300</v>
      </c>
      <c r="H39" s="68">
        <v>0</v>
      </c>
    </row>
    <row r="40" spans="1:8" s="59" customFormat="1" ht="12.95" customHeight="1" x14ac:dyDescent="0.2">
      <c r="A40" s="2" t="s">
        <v>60</v>
      </c>
      <c r="B40" s="71">
        <v>1060</v>
      </c>
      <c r="C40" s="68">
        <f>'I. Формування фін. рез.'!C49</f>
        <v>-10898</v>
      </c>
      <c r="D40" s="68">
        <f>'I. Формування фін. рез.'!D49</f>
        <v>-9835</v>
      </c>
      <c r="E40" s="68">
        <f>'I. Формування фін. рез.'!E49</f>
        <v>-9270</v>
      </c>
      <c r="F40" s="68">
        <f>'I. Формування фін. рез.'!F49</f>
        <v>-9835</v>
      </c>
      <c r="G40" s="68">
        <f t="shared" si="0"/>
        <v>-565</v>
      </c>
      <c r="H40" s="68">
        <f>F40/E40*100</f>
        <v>106.09492988133763</v>
      </c>
    </row>
    <row r="41" spans="1:8" s="59" customFormat="1" ht="12.95" customHeight="1" x14ac:dyDescent="0.2">
      <c r="A41" s="61" t="s">
        <v>61</v>
      </c>
      <c r="B41" s="71">
        <v>1070</v>
      </c>
      <c r="C41" s="68">
        <f>'I. Формування фін. рез.'!C58</f>
        <v>70974</v>
      </c>
      <c r="D41" s="68">
        <f>'I. Формування фін. рез.'!D58</f>
        <v>91497</v>
      </c>
      <c r="E41" s="68">
        <f>'I. Формування фін. рез.'!E58</f>
        <v>33315</v>
      </c>
      <c r="F41" s="68">
        <f>'I. Формування фін. рез.'!F58</f>
        <v>91497</v>
      </c>
      <c r="G41" s="68">
        <f t="shared" si="0"/>
        <v>58182</v>
      </c>
      <c r="H41" s="68">
        <f>F41/E41*100</f>
        <v>274.6420531292211</v>
      </c>
    </row>
    <row r="42" spans="1:8" s="59" customFormat="1" ht="12.95" customHeight="1" x14ac:dyDescent="0.2">
      <c r="A42" s="61" t="s">
        <v>62</v>
      </c>
      <c r="B42" s="71">
        <v>1071</v>
      </c>
      <c r="C42" s="68">
        <f>'I. Формування фін. рез.'!C59</f>
        <v>39024</v>
      </c>
      <c r="D42" s="68">
        <f>'I. Формування фін. рез.'!D59</f>
        <v>71799.8</v>
      </c>
      <c r="E42" s="68" t="str">
        <f>'I. Формування фін. рез.'!E59</f>
        <v>0,0</v>
      </c>
      <c r="F42" s="68">
        <f>'I. Формування фін. рез.'!F59</f>
        <v>71799.8</v>
      </c>
      <c r="G42" s="68">
        <f t="shared" si="0"/>
        <v>71799.8</v>
      </c>
      <c r="H42" s="68">
        <v>0</v>
      </c>
    </row>
    <row r="43" spans="1:8" s="59" customFormat="1" ht="12.95" customHeight="1" x14ac:dyDescent="0.2">
      <c r="A43" s="61" t="s">
        <v>63</v>
      </c>
      <c r="B43" s="71">
        <v>1072</v>
      </c>
      <c r="C43" s="68" t="str">
        <f>'I. Формування фін. рез.'!C60</f>
        <v>0,0</v>
      </c>
      <c r="D43" s="68" t="str">
        <f>'I. Формування фін. рез.'!D60</f>
        <v>0,0</v>
      </c>
      <c r="E43" s="68" t="str">
        <f>'I. Формування фін. рез.'!E60</f>
        <v>0,0</v>
      </c>
      <c r="F43" s="68" t="str">
        <f>'I. Формування фін. рез.'!F60</f>
        <v>0,0</v>
      </c>
      <c r="G43" s="68">
        <f t="shared" si="0"/>
        <v>0</v>
      </c>
      <c r="H43" s="68">
        <v>0</v>
      </c>
    </row>
    <row r="44" spans="1:8" s="59" customFormat="1" ht="12.95" customHeight="1" x14ac:dyDescent="0.2">
      <c r="A44" s="61" t="s">
        <v>64</v>
      </c>
      <c r="B44" s="71">
        <v>1080</v>
      </c>
      <c r="C44" s="68">
        <f>'I. Формування фін. рез.'!C67</f>
        <v>-67122</v>
      </c>
      <c r="D44" s="68">
        <f>'I. Формування фін. рез.'!D67</f>
        <v>-85524</v>
      </c>
      <c r="E44" s="68">
        <f>'I. Формування фін. рез.'!E67</f>
        <v>-23070</v>
      </c>
      <c r="F44" s="68">
        <f>'I. Формування фін. рез.'!F67</f>
        <v>-85524</v>
      </c>
      <c r="G44" s="68">
        <f t="shared" si="0"/>
        <v>-62454</v>
      </c>
      <c r="H44" s="68">
        <f>F44/E44*100</f>
        <v>370.71521456436926</v>
      </c>
    </row>
    <row r="45" spans="1:8" s="59" customFormat="1" ht="12.95" customHeight="1" x14ac:dyDescent="0.2">
      <c r="A45" s="61" t="s">
        <v>62</v>
      </c>
      <c r="B45" s="71">
        <v>1081</v>
      </c>
      <c r="C45" s="68">
        <f>'I. Формування фін. рез.'!C68</f>
        <v>-40732.400000000001</v>
      </c>
      <c r="D45" s="68">
        <f>'I. Формування фін. рез.'!D68</f>
        <v>-70730.399999999994</v>
      </c>
      <c r="E45" s="68" t="str">
        <f>'I. Формування фін. рез.'!E68</f>
        <v>0,0</v>
      </c>
      <c r="F45" s="68">
        <f>'I. Формування фін. рез.'!F68</f>
        <v>-70730.399999999994</v>
      </c>
      <c r="G45" s="68">
        <f t="shared" si="0"/>
        <v>-70730.399999999994</v>
      </c>
      <c r="H45" s="68">
        <v>0</v>
      </c>
    </row>
    <row r="46" spans="1:8" s="59" customFormat="1" ht="12.95" customHeight="1" x14ac:dyDescent="0.2">
      <c r="A46" s="61" t="s">
        <v>65</v>
      </c>
      <c r="B46" s="71">
        <v>1082</v>
      </c>
      <c r="C46" s="68" t="str">
        <f>'I. Формування фін. рез.'!C69</f>
        <v>0,0</v>
      </c>
      <c r="D46" s="68" t="str">
        <f>'I. Формування фін. рез.'!D69</f>
        <v>0,0</v>
      </c>
      <c r="E46" s="68" t="str">
        <f>'I. Формування фін. рез.'!E69</f>
        <v>0,0</v>
      </c>
      <c r="F46" s="68" t="str">
        <f>'I. Формування фін. рез.'!F69</f>
        <v>0,0</v>
      </c>
      <c r="G46" s="68">
        <f t="shared" si="0"/>
        <v>0</v>
      </c>
      <c r="H46" s="68">
        <v>0</v>
      </c>
    </row>
    <row r="47" spans="1:8" s="59" customFormat="1" ht="12.95" customHeight="1" x14ac:dyDescent="0.2">
      <c r="A47" s="3" t="s">
        <v>66</v>
      </c>
      <c r="B47" s="12">
        <v>1100</v>
      </c>
      <c r="C47" s="69">
        <f>C33+C34+C40+C41+C44</f>
        <v>-14145</v>
      </c>
      <c r="D47" s="69">
        <f>D33+D34+D40+D41+D44</f>
        <v>-27395</v>
      </c>
      <c r="E47" s="69">
        <f>E33+E34+E40+E41+E44</f>
        <v>-5865</v>
      </c>
      <c r="F47" s="69">
        <f>F33+F34+F40+F41+F44</f>
        <v>-27395</v>
      </c>
      <c r="G47" s="69">
        <f t="shared" si="0"/>
        <v>-21530</v>
      </c>
      <c r="H47" s="69">
        <f>F47/E47*100</f>
        <v>467.09292412617219</v>
      </c>
    </row>
    <row r="48" spans="1:8" s="59" customFormat="1" ht="12.95" customHeight="1" x14ac:dyDescent="0.2">
      <c r="A48" s="3" t="s">
        <v>67</v>
      </c>
      <c r="B48" s="12">
        <v>1310</v>
      </c>
      <c r="C48" s="69">
        <f>'I. Формування фін. рез.'!C113</f>
        <v>5751.4000000000015</v>
      </c>
      <c r="D48" s="69">
        <f>'I. Формування фін. рез.'!D113</f>
        <v>-14707.400000000009</v>
      </c>
      <c r="E48" s="69">
        <f>'I. Формування фін. рез.'!E113</f>
        <v>8815</v>
      </c>
      <c r="F48" s="69">
        <f>'I. Формування фін. рез.'!F113</f>
        <v>-14707.400000000009</v>
      </c>
      <c r="G48" s="69">
        <f t="shared" si="0"/>
        <v>-23522.400000000009</v>
      </c>
      <c r="H48" s="69">
        <f>F48/E48*100</f>
        <v>-166.84515031196833</v>
      </c>
    </row>
    <row r="49" spans="1:8" s="59" customFormat="1" ht="12.95" customHeight="1" x14ac:dyDescent="0.2">
      <c r="A49" s="3" t="s">
        <v>68</v>
      </c>
      <c r="B49" s="12">
        <v>5010</v>
      </c>
      <c r="C49" s="69">
        <f>C48/C31*100</f>
        <v>0.64581038457349293</v>
      </c>
      <c r="D49" s="69">
        <f>D48/D31*100</f>
        <v>-1.683674287088023</v>
      </c>
      <c r="E49" s="69">
        <f>E48/E31*100</f>
        <v>0.90016032350628528</v>
      </c>
      <c r="F49" s="69">
        <f>F48/F31*100</f>
        <v>-1.683674287088023</v>
      </c>
      <c r="G49" s="69">
        <f t="shared" si="0"/>
        <v>-2.5838346105943084</v>
      </c>
      <c r="H49" s="69">
        <f>F49/E49*100</f>
        <v>-187.0416017148824</v>
      </c>
    </row>
    <row r="50" spans="1:8" s="59" customFormat="1" ht="12.95" customHeight="1" x14ac:dyDescent="0.2">
      <c r="A50" s="61" t="s">
        <v>69</v>
      </c>
      <c r="B50" s="71">
        <v>1110</v>
      </c>
      <c r="C50" s="68" t="str">
        <f>'I. Формування фін. рез.'!C80</f>
        <v>0,0</v>
      </c>
      <c r="D50" s="68" t="str">
        <f>'I. Формування фін. рез.'!D80</f>
        <v>0,0</v>
      </c>
      <c r="E50" s="68" t="str">
        <f>'I. Формування фін. рез.'!E80</f>
        <v>0,0</v>
      </c>
      <c r="F50" s="68" t="str">
        <f>'I. Формування фін. рез.'!F80</f>
        <v>0,0</v>
      </c>
      <c r="G50" s="68">
        <f t="shared" si="0"/>
        <v>0</v>
      </c>
      <c r="H50" s="68">
        <v>0</v>
      </c>
    </row>
    <row r="51" spans="1:8" s="59" customFormat="1" ht="12.95" customHeight="1" x14ac:dyDescent="0.2">
      <c r="A51" s="61" t="s">
        <v>70</v>
      </c>
      <c r="B51" s="71">
        <v>1120</v>
      </c>
      <c r="C51" s="68" t="str">
        <f>'I. Формування фін. рез.'!C81</f>
        <v>0,0</v>
      </c>
      <c r="D51" s="68" t="str">
        <f>'I. Формування фін. рез.'!D81</f>
        <v>0,0</v>
      </c>
      <c r="E51" s="68" t="str">
        <f>'I. Формування фін. рез.'!E81</f>
        <v>0,0</v>
      </c>
      <c r="F51" s="68" t="str">
        <f>'I. Формування фін. рез.'!F81</f>
        <v>0,0</v>
      </c>
      <c r="G51" s="68">
        <f t="shared" si="0"/>
        <v>0</v>
      </c>
      <c r="H51" s="68">
        <v>0</v>
      </c>
    </row>
    <row r="52" spans="1:8" s="59" customFormat="1" ht="12.95" customHeight="1" x14ac:dyDescent="0.2">
      <c r="A52" s="61" t="s">
        <v>71</v>
      </c>
      <c r="B52" s="71">
        <v>1130</v>
      </c>
      <c r="C52" s="68">
        <f>'I. Формування фін. рез.'!C82</f>
        <v>22031</v>
      </c>
      <c r="D52" s="68">
        <f>'I. Формування фін. рез.'!D82</f>
        <v>10485</v>
      </c>
      <c r="E52" s="68">
        <f>'I. Формування фін. рез.'!E82</f>
        <v>11745</v>
      </c>
      <c r="F52" s="68">
        <f>'I. Формування фін. рез.'!F82</f>
        <v>10485</v>
      </c>
      <c r="G52" s="68">
        <f t="shared" si="0"/>
        <v>-1260</v>
      </c>
      <c r="H52" s="68">
        <v>0</v>
      </c>
    </row>
    <row r="53" spans="1:8" s="59" customFormat="1" ht="12.95" customHeight="1" x14ac:dyDescent="0.2">
      <c r="A53" s="61" t="s">
        <v>72</v>
      </c>
      <c r="B53" s="71">
        <v>1140</v>
      </c>
      <c r="C53" s="68">
        <f>'I. Формування фін. рез.'!C85</f>
        <v>-1427</v>
      </c>
      <c r="D53" s="68">
        <f>'I. Формування фін. рез.'!D85</f>
        <v>-1939</v>
      </c>
      <c r="E53" s="68">
        <f>'I. Формування фін. рез.'!E85</f>
        <v>-2600</v>
      </c>
      <c r="F53" s="68">
        <f>'I. Формування фін. рез.'!F85</f>
        <v>-1939</v>
      </c>
      <c r="G53" s="68">
        <f t="shared" si="0"/>
        <v>661</v>
      </c>
      <c r="H53" s="68">
        <f>F53/E53*100</f>
        <v>74.57692307692308</v>
      </c>
    </row>
    <row r="54" spans="1:8" s="59" customFormat="1" ht="12.95" customHeight="1" x14ac:dyDescent="0.2">
      <c r="A54" s="61" t="s">
        <v>73</v>
      </c>
      <c r="B54" s="71">
        <v>1150</v>
      </c>
      <c r="C54" s="68">
        <f>'I. Формування фін. рез.'!C87</f>
        <v>3786</v>
      </c>
      <c r="D54" s="68">
        <f>'I. Формування фін. рез.'!D87</f>
        <v>12902</v>
      </c>
      <c r="E54" s="68">
        <f>'I. Формування фін. рез.'!E87</f>
        <v>59515</v>
      </c>
      <c r="F54" s="68">
        <f>'I. Формування фін. рез.'!F87</f>
        <v>12902</v>
      </c>
      <c r="G54" s="68">
        <f t="shared" si="0"/>
        <v>-46613</v>
      </c>
      <c r="H54" s="68">
        <f>F54/E54*100</f>
        <v>21.678568428127363</v>
      </c>
    </row>
    <row r="55" spans="1:8" s="59" customFormat="1" ht="12.95" customHeight="1" x14ac:dyDescent="0.2">
      <c r="A55" s="61" t="s">
        <v>62</v>
      </c>
      <c r="B55" s="71">
        <v>1151</v>
      </c>
      <c r="C55" s="68">
        <f>'I. Формування фін. рез.'!C88</f>
        <v>728.8</v>
      </c>
      <c r="D55" s="68">
        <f>'I. Формування фін. рез.'!D88</f>
        <v>21.3</v>
      </c>
      <c r="E55" s="68" t="str">
        <f>'I. Формування фін. рез.'!E88</f>
        <v>0,0</v>
      </c>
      <c r="F55" s="68">
        <f>'I. Формування фін. рез.'!F88</f>
        <v>21.3</v>
      </c>
      <c r="G55" s="68">
        <f t="shared" si="0"/>
        <v>21.3</v>
      </c>
      <c r="H55" s="68">
        <v>0</v>
      </c>
    </row>
    <row r="56" spans="1:8" s="59" customFormat="1" ht="12.95" customHeight="1" x14ac:dyDescent="0.2">
      <c r="A56" s="61" t="s">
        <v>74</v>
      </c>
      <c r="B56" s="71">
        <v>1160</v>
      </c>
      <c r="C56" s="68">
        <f>'I. Формування фін. рез.'!C91</f>
        <v>-1430</v>
      </c>
      <c r="D56" s="68">
        <f>'I. Формування фін. рез.'!D91</f>
        <v>-2688</v>
      </c>
      <c r="E56" s="68">
        <f>'I. Формування фін. рез.'!E91</f>
        <v>-9185</v>
      </c>
      <c r="F56" s="68">
        <f>'I. Формування фін. рез.'!F91</f>
        <v>-2688</v>
      </c>
      <c r="G56" s="68">
        <f t="shared" si="0"/>
        <v>6497</v>
      </c>
      <c r="H56" s="68">
        <f>F56/E56*100</f>
        <v>29.265106151333697</v>
      </c>
    </row>
    <row r="57" spans="1:8" s="59" customFormat="1" ht="12.95" customHeight="1" x14ac:dyDescent="0.2">
      <c r="A57" s="61" t="s">
        <v>62</v>
      </c>
      <c r="B57" s="71">
        <v>1161</v>
      </c>
      <c r="C57" s="68">
        <f>'I. Формування фін. рез.'!C92</f>
        <v>-139.80000000000001</v>
      </c>
      <c r="D57" s="68">
        <f>'I. Формування фін. рез.'!D92</f>
        <v>-18.8</v>
      </c>
      <c r="E57" s="68" t="str">
        <f>'I. Формування фін. рез.'!E92</f>
        <v>0,0</v>
      </c>
      <c r="F57" s="68">
        <f>'I. Формування фін. рез.'!F92</f>
        <v>-18.8</v>
      </c>
      <c r="G57" s="68">
        <f t="shared" si="0"/>
        <v>-18.8</v>
      </c>
      <c r="H57" s="68">
        <v>0</v>
      </c>
    </row>
    <row r="58" spans="1:8" s="59" customFormat="1" ht="12.95" customHeight="1" x14ac:dyDescent="0.2">
      <c r="A58" s="66" t="s">
        <v>75</v>
      </c>
      <c r="B58" s="12">
        <v>1170</v>
      </c>
      <c r="C58" s="69">
        <f>SUM(C47,C50:C54,C56)</f>
        <v>8815</v>
      </c>
      <c r="D58" s="69">
        <f>SUM(D47,D50:D54,D56)</f>
        <v>-8635</v>
      </c>
      <c r="E58" s="69">
        <f>SUM(E47,E50:E54,E56)</f>
        <v>53610</v>
      </c>
      <c r="F58" s="69">
        <f>SUM(F47,F50:F54,F56)</f>
        <v>-8635</v>
      </c>
      <c r="G58" s="69">
        <f t="shared" si="0"/>
        <v>-62245</v>
      </c>
      <c r="H58" s="69">
        <f>F58/E58*100</f>
        <v>-16.107069576571533</v>
      </c>
    </row>
    <row r="59" spans="1:8" s="59" customFormat="1" ht="12.95" customHeight="1" x14ac:dyDescent="0.2">
      <c r="A59" s="61" t="s">
        <v>76</v>
      </c>
      <c r="B59" s="71">
        <v>1180</v>
      </c>
      <c r="C59" s="68">
        <f>'I. Формування фін. рез.'!C96</f>
        <v>-1587</v>
      </c>
      <c r="D59" s="68">
        <f>'I. Формування фін. рез.'!D96</f>
        <v>0</v>
      </c>
      <c r="E59" s="68">
        <f>'I. Формування фін. рез.'!E96</f>
        <v>-9650</v>
      </c>
      <c r="F59" s="68">
        <f>'I. Формування фін. рез.'!F96</f>
        <v>0</v>
      </c>
      <c r="G59" s="68">
        <f t="shared" si="0"/>
        <v>9650</v>
      </c>
      <c r="H59" s="68">
        <v>0</v>
      </c>
    </row>
    <row r="60" spans="1:8" s="59" customFormat="1" ht="12.95" customHeight="1" x14ac:dyDescent="0.2">
      <c r="A60" s="61" t="s">
        <v>77</v>
      </c>
      <c r="B60" s="71">
        <v>1181</v>
      </c>
      <c r="C60" s="68">
        <f>'I. Формування фін. рез.'!C97</f>
        <v>0</v>
      </c>
      <c r="D60" s="68">
        <f>'I. Формування фін. рез.'!D97</f>
        <v>0</v>
      </c>
      <c r="E60" s="68">
        <f>'I. Формування фін. рез.'!E97</f>
        <v>0</v>
      </c>
      <c r="F60" s="68">
        <f>'I. Формування фін. рез.'!F97</f>
        <v>0</v>
      </c>
      <c r="G60" s="68">
        <f t="shared" si="0"/>
        <v>0</v>
      </c>
      <c r="H60" s="68">
        <v>0</v>
      </c>
    </row>
    <row r="61" spans="1:8" s="59" customFormat="1" ht="15" customHeight="1" x14ac:dyDescent="0.2">
      <c r="A61" s="61" t="s">
        <v>78</v>
      </c>
      <c r="B61" s="71">
        <v>1190</v>
      </c>
      <c r="C61" s="68">
        <f>'I. Формування фін. рез.'!C98</f>
        <v>0</v>
      </c>
      <c r="D61" s="68">
        <f>'I. Формування фін. рез.'!D98</f>
        <v>0</v>
      </c>
      <c r="E61" s="68">
        <f>'I. Формування фін. рез.'!E98</f>
        <v>0</v>
      </c>
      <c r="F61" s="68">
        <f>'I. Формування фін. рез.'!F98</f>
        <v>0</v>
      </c>
      <c r="G61" s="68">
        <f t="shared" si="0"/>
        <v>0</v>
      </c>
      <c r="H61" s="68">
        <v>0</v>
      </c>
    </row>
    <row r="62" spans="1:8" s="59" customFormat="1" ht="15.75" customHeight="1" x14ac:dyDescent="0.2">
      <c r="A62" s="61" t="s">
        <v>79</v>
      </c>
      <c r="B62" s="71">
        <v>1191</v>
      </c>
      <c r="C62" s="68">
        <f>'I. Формування фін. рез.'!C99</f>
        <v>0</v>
      </c>
      <c r="D62" s="68">
        <f>'I. Формування фін. рез.'!D99</f>
        <v>0</v>
      </c>
      <c r="E62" s="68">
        <f>'I. Формування фін. рез.'!E99</f>
        <v>0</v>
      </c>
      <c r="F62" s="68">
        <f>'I. Формування фін. рез.'!F99</f>
        <v>0</v>
      </c>
      <c r="G62" s="68">
        <f t="shared" si="0"/>
        <v>0</v>
      </c>
      <c r="H62" s="68">
        <v>0</v>
      </c>
    </row>
    <row r="63" spans="1:8" s="59" customFormat="1" ht="15" customHeight="1" x14ac:dyDescent="0.2">
      <c r="A63" s="66" t="s">
        <v>80</v>
      </c>
      <c r="B63" s="12">
        <v>1200</v>
      </c>
      <c r="C63" s="69">
        <f>SUM(C58:C62)</f>
        <v>7228</v>
      </c>
      <c r="D63" s="69">
        <f>SUM(D58:D59)</f>
        <v>-8635</v>
      </c>
      <c r="E63" s="69">
        <f>SUM(E58:E62)</f>
        <v>43960</v>
      </c>
      <c r="F63" s="69">
        <f>SUM(F58:F59)</f>
        <v>-8635</v>
      </c>
      <c r="G63" s="69">
        <f t="shared" si="0"/>
        <v>-52595</v>
      </c>
      <c r="H63" s="69">
        <f>F63/E63*100</f>
        <v>-19.642857142857142</v>
      </c>
    </row>
    <row r="64" spans="1:8" s="59" customFormat="1" ht="15" customHeight="1" x14ac:dyDescent="0.2">
      <c r="A64" s="61" t="s">
        <v>81</v>
      </c>
      <c r="B64" s="71">
        <v>1201</v>
      </c>
      <c r="C64" s="68">
        <f>'I. Формування фін. рез.'!C101</f>
        <v>7228</v>
      </c>
      <c r="D64" s="68">
        <f>'I. Формування фін. рез.'!D101</f>
        <v>0</v>
      </c>
      <c r="E64" s="68">
        <f>'I. Формування фін. рез.'!E101</f>
        <v>64685</v>
      </c>
      <c r="F64" s="68">
        <f>'I. Формування фін. рез.'!F101</f>
        <v>0</v>
      </c>
      <c r="G64" s="68">
        <f t="shared" si="0"/>
        <v>-64685</v>
      </c>
      <c r="H64" s="68" t="s">
        <v>426</v>
      </c>
    </row>
    <row r="65" spans="1:8" s="59" customFormat="1" ht="12.95" customHeight="1" x14ac:dyDescent="0.2">
      <c r="A65" s="61" t="s">
        <v>82</v>
      </c>
      <c r="B65" s="71">
        <v>1202</v>
      </c>
      <c r="C65" s="68">
        <f>'I. Формування фін. рез.'!C102</f>
        <v>0</v>
      </c>
      <c r="D65" s="68">
        <f>'I. Формування фін. рез.'!D102</f>
        <v>-8635</v>
      </c>
      <c r="E65" s="68">
        <f>'I. Формування фін. рез.'!E102</f>
        <v>-20725</v>
      </c>
      <c r="F65" s="68">
        <f>'I. Формування фін. рез.'!F102</f>
        <v>-8635</v>
      </c>
      <c r="G65" s="68">
        <f t="shared" si="0"/>
        <v>12090</v>
      </c>
      <c r="H65" s="68" t="s">
        <v>426</v>
      </c>
    </row>
    <row r="66" spans="1:8" s="59" customFormat="1" ht="12.95" customHeight="1" x14ac:dyDescent="0.2">
      <c r="A66" s="66" t="s">
        <v>83</v>
      </c>
      <c r="B66" s="12">
        <v>1210</v>
      </c>
      <c r="C66" s="69">
        <f>'I. Формування фін. рез.'!C103</f>
        <v>987362</v>
      </c>
      <c r="D66" s="69">
        <f>'I. Формування фін. рез.'!D103</f>
        <v>988414</v>
      </c>
      <c r="E66" s="69">
        <f>'I. Формування фін. рез.'!E103</f>
        <v>1083845</v>
      </c>
      <c r="F66" s="69">
        <f>'I. Формування фін. рез.'!F103</f>
        <v>988414</v>
      </c>
      <c r="G66" s="69">
        <f t="shared" si="0"/>
        <v>-95431</v>
      </c>
      <c r="H66" s="69">
        <f>F66/E66*100</f>
        <v>91.195143216972909</v>
      </c>
    </row>
    <row r="67" spans="1:8" s="59" customFormat="1" ht="12.95" customHeight="1" x14ac:dyDescent="0.2">
      <c r="A67" s="66" t="s">
        <v>84</v>
      </c>
      <c r="B67" s="12">
        <v>1220</v>
      </c>
      <c r="C67" s="69">
        <f>'I. Формування фін. рез.'!C104</f>
        <v>-980134</v>
      </c>
      <c r="D67" s="69">
        <f>'I. Формування фін. рез.'!D104</f>
        <v>-997049</v>
      </c>
      <c r="E67" s="69">
        <f>'I. Формування фін. рез.'!E104</f>
        <v>-1039885</v>
      </c>
      <c r="F67" s="69">
        <f>'I. Формування фін. рез.'!F104</f>
        <v>-997049</v>
      </c>
      <c r="G67" s="69">
        <f t="shared" si="0"/>
        <v>42836</v>
      </c>
      <c r="H67" s="69">
        <f>F67/E67*100</f>
        <v>95.88069834645178</v>
      </c>
    </row>
    <row r="68" spans="1:8" s="59" customFormat="1" ht="12.95" customHeight="1" x14ac:dyDescent="0.2">
      <c r="A68" s="61" t="s">
        <v>85</v>
      </c>
      <c r="B68" s="71">
        <v>1230</v>
      </c>
      <c r="C68" s="68" t="str">
        <f>'I. Формування фін. рез.'!C105</f>
        <v>0,0</v>
      </c>
      <c r="D68" s="68" t="str">
        <f>'I. Формування фін. рез.'!D105</f>
        <v>0,0</v>
      </c>
      <c r="E68" s="68" t="str">
        <f>'I. Формування фін. рез.'!E105</f>
        <v>0,0</v>
      </c>
      <c r="F68" s="68" t="str">
        <f>'I. Формування фін. рез.'!F105</f>
        <v>0,0</v>
      </c>
      <c r="G68" s="68">
        <f t="shared" si="0"/>
        <v>0</v>
      </c>
      <c r="H68" s="68">
        <v>0</v>
      </c>
    </row>
    <row r="69" spans="1:8" s="59" customFormat="1" ht="12.95" customHeight="1" x14ac:dyDescent="0.2">
      <c r="A69" s="143" t="s">
        <v>86</v>
      </c>
      <c r="B69" s="143"/>
      <c r="C69" s="143"/>
      <c r="D69" s="143"/>
      <c r="E69" s="143"/>
      <c r="F69" s="143"/>
      <c r="G69" s="143"/>
      <c r="H69" s="143"/>
    </row>
    <row r="70" spans="1:8" s="59" customFormat="1" ht="12.95" customHeight="1" x14ac:dyDescent="0.2">
      <c r="A70" s="61" t="s">
        <v>87</v>
      </c>
      <c r="B70" s="71">
        <v>1400</v>
      </c>
      <c r="C70" s="68">
        <f>'I. Формування фін. рез.'!C115</f>
        <v>190705</v>
      </c>
      <c r="D70" s="68">
        <f>'I. Формування фін. рез.'!D115</f>
        <v>285718</v>
      </c>
      <c r="E70" s="68">
        <f>'I. Формування фін. рез.'!E115</f>
        <v>191330</v>
      </c>
      <c r="F70" s="68">
        <f>'I. Формування фін. рез.'!F115</f>
        <v>285718</v>
      </c>
      <c r="G70" s="68">
        <f>F70-E70</f>
        <v>94388</v>
      </c>
      <c r="H70" s="68">
        <f>F70/E70*100</f>
        <v>149.33256676945592</v>
      </c>
    </row>
    <row r="71" spans="1:8" s="59" customFormat="1" ht="12.75" x14ac:dyDescent="0.2">
      <c r="A71" s="61" t="s">
        <v>88</v>
      </c>
      <c r="B71" s="71">
        <v>1401</v>
      </c>
      <c r="C71" s="68">
        <f>'I. Формування фін. рез.'!C116</f>
        <v>38332</v>
      </c>
      <c r="D71" s="68">
        <f>'I. Формування фін. рез.'!D116</f>
        <v>27085.200000000001</v>
      </c>
      <c r="E71" s="68">
        <f>'I. Формування фін. рез.'!E116</f>
        <v>24985</v>
      </c>
      <c r="F71" s="68">
        <f>'I. Формування фін. рез.'!F116</f>
        <v>27085.200000000001</v>
      </c>
      <c r="G71" s="68">
        <f t="shared" ref="G71:G77" si="1">F71-E71</f>
        <v>2100.2000000000007</v>
      </c>
      <c r="H71" s="68">
        <f t="shared" ref="H71:H77" si="2">F71/E71*100</f>
        <v>108.40584350610368</v>
      </c>
    </row>
    <row r="72" spans="1:8" s="59" customFormat="1" ht="12.95" customHeight="1" x14ac:dyDescent="0.2">
      <c r="A72" s="61" t="s">
        <v>89</v>
      </c>
      <c r="B72" s="71">
        <v>1402</v>
      </c>
      <c r="C72" s="68">
        <f>'I. Формування фін. рез.'!C117</f>
        <v>64637.5</v>
      </c>
      <c r="D72" s="68">
        <f>'I. Формування фін. рез.'!D117</f>
        <v>63648.3</v>
      </c>
      <c r="E72" s="68">
        <f>'I. Формування фін. рез.'!E117</f>
        <v>47630</v>
      </c>
      <c r="F72" s="68">
        <f>'I. Формування фін. рез.'!F117</f>
        <v>63648.3</v>
      </c>
      <c r="G72" s="68">
        <f t="shared" si="1"/>
        <v>16018.300000000003</v>
      </c>
      <c r="H72" s="68">
        <f t="shared" si="2"/>
        <v>133.63069494016378</v>
      </c>
    </row>
    <row r="73" spans="1:8" s="59" customFormat="1" ht="12" customHeight="1" x14ac:dyDescent="0.2">
      <c r="A73" s="61" t="s">
        <v>90</v>
      </c>
      <c r="B73" s="71">
        <v>1410</v>
      </c>
      <c r="C73" s="68">
        <f>'I. Формування фін. рез.'!C118</f>
        <v>145699</v>
      </c>
      <c r="D73" s="68">
        <f>'I. Формування фін. рез.'!D118</f>
        <v>168776</v>
      </c>
      <c r="E73" s="68">
        <f>'I. Формування фін. рез.'!E118</f>
        <v>148090</v>
      </c>
      <c r="F73" s="68">
        <f>'I. Формування фін. рез.'!F118</f>
        <v>168776</v>
      </c>
      <c r="G73" s="68">
        <f t="shared" si="1"/>
        <v>20686</v>
      </c>
      <c r="H73" s="68">
        <f t="shared" si="2"/>
        <v>113.96853264906477</v>
      </c>
    </row>
    <row r="74" spans="1:8" s="59" customFormat="1" ht="12.95" customHeight="1" x14ac:dyDescent="0.2">
      <c r="A74" s="61" t="s">
        <v>91</v>
      </c>
      <c r="B74" s="71">
        <v>1420</v>
      </c>
      <c r="C74" s="68">
        <f>'I. Формування фін. рез.'!C119</f>
        <v>38132</v>
      </c>
      <c r="D74" s="68">
        <f>'I. Формування фін. рез.'!D119</f>
        <v>36985</v>
      </c>
      <c r="E74" s="68">
        <f>'I. Формування фін. рез.'!E119</f>
        <v>32900</v>
      </c>
      <c r="F74" s="68">
        <f>'I. Формування фін. рез.'!F119</f>
        <v>36985</v>
      </c>
      <c r="G74" s="68">
        <f t="shared" si="1"/>
        <v>4085</v>
      </c>
      <c r="H74" s="68">
        <f t="shared" si="2"/>
        <v>112.41641337386019</v>
      </c>
    </row>
    <row r="75" spans="1:8" s="59" customFormat="1" ht="13.5" customHeight="1" x14ac:dyDescent="0.2">
      <c r="A75" s="61" t="s">
        <v>92</v>
      </c>
      <c r="B75" s="71">
        <v>1430</v>
      </c>
      <c r="C75" s="68">
        <f>'I. Формування фін. рез.'!C120</f>
        <v>18188</v>
      </c>
      <c r="D75" s="68">
        <f>'I. Формування фін. рез.'!D120</f>
        <v>13757</v>
      </c>
      <c r="E75" s="68">
        <f>'I. Формування фін. рез.'!E120</f>
        <v>14680</v>
      </c>
      <c r="F75" s="68">
        <f>'I. Формування фін. рез.'!F120</f>
        <v>13757</v>
      </c>
      <c r="G75" s="68">
        <f t="shared" si="1"/>
        <v>-923</v>
      </c>
      <c r="H75" s="68">
        <f>F75/E75*100</f>
        <v>93.712534059945511</v>
      </c>
    </row>
    <row r="76" spans="1:8" s="59" customFormat="1" ht="12.75" customHeight="1" x14ac:dyDescent="0.2">
      <c r="A76" s="61" t="s">
        <v>93</v>
      </c>
      <c r="B76" s="71">
        <v>1440</v>
      </c>
      <c r="C76" s="68">
        <f>'I. Формування фін. рез.'!C121</f>
        <v>582966</v>
      </c>
      <c r="D76" s="68">
        <f>'I. Формування фін. рез.'!D121</f>
        <v>487186</v>
      </c>
      <c r="E76" s="68">
        <f>'I. Формування фін. рез.'!E121</f>
        <v>623495</v>
      </c>
      <c r="F76" s="68">
        <f>'I. Формування фін. рез.'!F121</f>
        <v>487186</v>
      </c>
      <c r="G76" s="68">
        <f t="shared" si="1"/>
        <v>-136309</v>
      </c>
      <c r="H76" s="68">
        <f t="shared" si="2"/>
        <v>78.137916101973545</v>
      </c>
    </row>
    <row r="77" spans="1:8" s="59" customFormat="1" ht="12.95" customHeight="1" x14ac:dyDescent="0.2">
      <c r="A77" s="66" t="s">
        <v>94</v>
      </c>
      <c r="B77" s="12">
        <v>1450</v>
      </c>
      <c r="C77" s="69">
        <f>SUM(C70,C73:C76)</f>
        <v>975690</v>
      </c>
      <c r="D77" s="69">
        <f>SUM(D70,D73:D76)</f>
        <v>992422</v>
      </c>
      <c r="E77" s="69">
        <f>SUM(E70,E73:E76)</f>
        <v>1010495</v>
      </c>
      <c r="F77" s="69">
        <f>SUM(F70,F73:F76)</f>
        <v>992422</v>
      </c>
      <c r="G77" s="69">
        <f t="shared" si="1"/>
        <v>-18073</v>
      </c>
      <c r="H77" s="69">
        <f t="shared" si="2"/>
        <v>98.21147061588627</v>
      </c>
    </row>
    <row r="78" spans="1:8" s="59" customFormat="1" ht="20.25" customHeight="1" x14ac:dyDescent="0.2">
      <c r="A78" s="125" t="s">
        <v>95</v>
      </c>
      <c r="B78" s="126"/>
      <c r="C78" s="126"/>
      <c r="D78" s="126"/>
      <c r="E78" s="126"/>
      <c r="F78" s="126"/>
      <c r="G78" s="126"/>
      <c r="H78" s="126"/>
    </row>
    <row r="79" spans="1:8" s="59" customFormat="1" ht="12.95" customHeight="1" x14ac:dyDescent="0.2">
      <c r="A79" s="143" t="s">
        <v>96</v>
      </c>
      <c r="B79" s="143"/>
      <c r="C79" s="143"/>
      <c r="D79" s="143"/>
      <c r="E79" s="143"/>
      <c r="F79" s="143"/>
      <c r="G79" s="143"/>
      <c r="H79" s="143"/>
    </row>
    <row r="80" spans="1:8" s="59" customFormat="1" ht="24" customHeight="1" x14ac:dyDescent="0.2">
      <c r="A80" s="61" t="s">
        <v>97</v>
      </c>
      <c r="B80" s="71">
        <v>2000</v>
      </c>
      <c r="C80" s="68">
        <f>'ІІ. Розр. з бюджетом'!C8</f>
        <v>-734565</v>
      </c>
      <c r="D80" s="68">
        <f>'ІІ. Розр. з бюджетом'!D8</f>
        <v>-744876</v>
      </c>
      <c r="E80" s="68">
        <f>'ІІ. Розр. з бюджетом'!E8</f>
        <v>-744876</v>
      </c>
      <c r="F80" s="68">
        <f>'ІІ. Розр. з бюджетом'!F8</f>
        <v>-744876</v>
      </c>
      <c r="G80" s="68">
        <f>F80-E80</f>
        <v>0</v>
      </c>
      <c r="H80" s="68">
        <f>F80/E80*100</f>
        <v>100</v>
      </c>
    </row>
    <row r="81" spans="1:8" s="59" customFormat="1" ht="12.75" customHeight="1" x14ac:dyDescent="0.2">
      <c r="A81" s="61" t="s">
        <v>80</v>
      </c>
      <c r="B81" s="71">
        <v>1200</v>
      </c>
      <c r="C81" s="68">
        <f>'ІІ. Розр. з бюджетом'!C7</f>
        <v>7228</v>
      </c>
      <c r="D81" s="68">
        <f>'ІІ. Розр. з бюджетом'!D7</f>
        <v>-8635</v>
      </c>
      <c r="E81" s="68">
        <f>'ІІ. Розр. з бюджетом'!E7</f>
        <v>43960</v>
      </c>
      <c r="F81" s="68">
        <f>'ІІ. Розр. з бюджетом'!F7</f>
        <v>-8635</v>
      </c>
      <c r="G81" s="68">
        <f>'ІІ. Розр. з бюджетом'!G7</f>
        <v>-52595</v>
      </c>
      <c r="H81" s="68">
        <f>'ІІ. Розр. з бюджетом'!H7</f>
        <v>-19.642857142857142</v>
      </c>
    </row>
    <row r="82" spans="1:8" s="59" customFormat="1" ht="23.25" customHeight="1" x14ac:dyDescent="0.2">
      <c r="A82" s="61" t="s">
        <v>98</v>
      </c>
      <c r="B82" s="71">
        <v>2010</v>
      </c>
      <c r="C82" s="68">
        <f>'ІІ. Розр. з бюджетом'!C9</f>
        <v>-1124</v>
      </c>
      <c r="D82" s="68">
        <f>'ІІ. Розр. з бюджетом'!D9</f>
        <v>-3614</v>
      </c>
      <c r="E82" s="68">
        <f>'ІІ. Розр. з бюджетом'!E9</f>
        <v>-5420</v>
      </c>
      <c r="F82" s="68">
        <f>'ІІ. Розр. з бюджетом'!F9</f>
        <v>-3614</v>
      </c>
      <c r="G82" s="68">
        <f t="shared" ref="G82:G91" si="3">F82-E82</f>
        <v>1806</v>
      </c>
      <c r="H82" s="68">
        <v>0</v>
      </c>
    </row>
    <row r="83" spans="1:8" s="59" customFormat="1" ht="24" customHeight="1" x14ac:dyDescent="0.2">
      <c r="A83" s="61" t="s">
        <v>99</v>
      </c>
      <c r="B83" s="71">
        <v>2011</v>
      </c>
      <c r="C83" s="68" t="str">
        <f>'ІІ. Розр. з бюджетом'!C10</f>
        <v>0,0</v>
      </c>
      <c r="D83" s="68" t="str">
        <f>'ІІ. Розр. з бюджетом'!D10</f>
        <v>0,0</v>
      </c>
      <c r="E83" s="68" t="str">
        <f>'ІІ. Розр. з бюджетом'!E10</f>
        <v>0,0</v>
      </c>
      <c r="F83" s="68" t="str">
        <f>'ІІ. Розр. з бюджетом'!F10</f>
        <v>0,0</v>
      </c>
      <c r="G83" s="68">
        <f t="shared" si="3"/>
        <v>0</v>
      </c>
      <c r="H83" s="68">
        <v>0</v>
      </c>
    </row>
    <row r="84" spans="1:8" s="59" customFormat="1" ht="38.25" customHeight="1" x14ac:dyDescent="0.2">
      <c r="A84" s="61" t="s">
        <v>100</v>
      </c>
      <c r="B84" s="71">
        <v>2012</v>
      </c>
      <c r="C84" s="68">
        <f>'ІІ. Розр. з бюджетом'!C11</f>
        <v>-1124</v>
      </c>
      <c r="D84" s="68">
        <f>'ІІ. Розр. з бюджетом'!D11</f>
        <v>-3614</v>
      </c>
      <c r="E84" s="68">
        <f>'ІІ. Розр. з бюджетом'!E11</f>
        <v>-5420</v>
      </c>
      <c r="F84" s="68">
        <f>'ІІ. Розр. з бюджетом'!F11</f>
        <v>-3614</v>
      </c>
      <c r="G84" s="68">
        <f t="shared" si="3"/>
        <v>1806</v>
      </c>
      <c r="H84" s="68">
        <v>0</v>
      </c>
    </row>
    <row r="85" spans="1:8" s="59" customFormat="1" ht="12" customHeight="1" x14ac:dyDescent="0.2">
      <c r="A85" s="61" t="s">
        <v>101</v>
      </c>
      <c r="B85" s="65" t="s">
        <v>102</v>
      </c>
      <c r="C85" s="68">
        <f>'ІІ. Розр. з бюджетом'!C12</f>
        <v>0</v>
      </c>
      <c r="D85" s="68">
        <f>'ІІ. Розр. з бюджетом'!D12</f>
        <v>-3614</v>
      </c>
      <c r="E85" s="68">
        <f>'ІІ. Розр. з бюджетом'!E12</f>
        <v>-5420</v>
      </c>
      <c r="F85" s="68">
        <f>'ІІ. Розр. з бюджетом'!F12</f>
        <v>-3614</v>
      </c>
      <c r="G85" s="68">
        <f t="shared" si="3"/>
        <v>1806</v>
      </c>
      <c r="H85" s="68">
        <v>0</v>
      </c>
    </row>
    <row r="86" spans="1:8" s="59" customFormat="1" ht="12.95" customHeight="1" x14ac:dyDescent="0.2">
      <c r="A86" s="61" t="s">
        <v>103</v>
      </c>
      <c r="B86" s="71">
        <v>2020</v>
      </c>
      <c r="C86" s="68" t="str">
        <f>'ІІ. Розр. з бюджетом'!C13</f>
        <v>0,0</v>
      </c>
      <c r="D86" s="68" t="str">
        <f>'ІІ. Розр. з бюджетом'!D13</f>
        <v>0,0</v>
      </c>
      <c r="E86" s="68" t="str">
        <f>'ІІ. Розр. з бюджетом'!E13</f>
        <v>0,0</v>
      </c>
      <c r="F86" s="68" t="str">
        <f>'ІІ. Розр. з бюджетом'!F13</f>
        <v>0,0</v>
      </c>
      <c r="G86" s="68">
        <f t="shared" si="3"/>
        <v>0</v>
      </c>
      <c r="H86" s="68">
        <v>0</v>
      </c>
    </row>
    <row r="87" spans="1:8" s="59" customFormat="1" ht="12.95" customHeight="1" x14ac:dyDescent="0.2">
      <c r="A87" s="61" t="s">
        <v>104</v>
      </c>
      <c r="B87" s="71">
        <v>2030</v>
      </c>
      <c r="C87" s="68" t="str">
        <f>'ІІ. Розр. з бюджетом'!C14</f>
        <v>0,0</v>
      </c>
      <c r="D87" s="68" t="str">
        <f>'ІІ. Розр. з бюджетом'!D14</f>
        <v>0,0</v>
      </c>
      <c r="E87" s="68">
        <f>'ІІ. Розр. з бюджетом'!E14</f>
        <v>0</v>
      </c>
      <c r="F87" s="68" t="str">
        <f>'ІІ. Розр. з бюджетом'!F14</f>
        <v>0,0</v>
      </c>
      <c r="G87" s="68">
        <f t="shared" si="3"/>
        <v>0</v>
      </c>
      <c r="H87" s="68">
        <v>0</v>
      </c>
    </row>
    <row r="88" spans="1:8" s="59" customFormat="1" ht="12.95" customHeight="1" x14ac:dyDescent="0.2">
      <c r="A88" s="61" t="s">
        <v>105</v>
      </c>
      <c r="B88" s="71">
        <v>2040</v>
      </c>
      <c r="C88" s="68" t="str">
        <f>'ІІ. Розр. з бюджетом'!C16</f>
        <v>0,0</v>
      </c>
      <c r="D88" s="68" t="str">
        <f>'ІІ. Розр. з бюджетом'!D16</f>
        <v>0,0</v>
      </c>
      <c r="E88" s="68" t="str">
        <f>'ІІ. Розр. з бюджетом'!E16</f>
        <v>0,0</v>
      </c>
      <c r="F88" s="68" t="str">
        <f>'ІІ. Розр. з бюджетом'!F16</f>
        <v>0,0</v>
      </c>
      <c r="G88" s="68">
        <f t="shared" si="3"/>
        <v>0</v>
      </c>
      <c r="H88" s="68">
        <v>0</v>
      </c>
    </row>
    <row r="89" spans="1:8" s="59" customFormat="1" ht="12.95" customHeight="1" x14ac:dyDescent="0.2">
      <c r="A89" s="61" t="s">
        <v>106</v>
      </c>
      <c r="B89" s="71">
        <v>2050</v>
      </c>
      <c r="C89" s="68" t="str">
        <f>'ІІ. Розр. з бюджетом'!C17</f>
        <v>0,0</v>
      </c>
      <c r="D89" s="68" t="str">
        <f>'ІІ. Розр. з бюджетом'!D17</f>
        <v>0,0</v>
      </c>
      <c r="E89" s="68" t="str">
        <f>'ІІ. Розр. з бюджетом'!E17</f>
        <v>0,0</v>
      </c>
      <c r="F89" s="68" t="str">
        <f>'ІІ. Розр. з бюджетом'!F17</f>
        <v>0,0</v>
      </c>
      <c r="G89" s="68">
        <f t="shared" si="3"/>
        <v>0</v>
      </c>
      <c r="H89" s="68">
        <v>0</v>
      </c>
    </row>
    <row r="90" spans="1:8" s="59" customFormat="1" ht="12.95" customHeight="1" x14ac:dyDescent="0.2">
      <c r="A90" s="61" t="s">
        <v>107</v>
      </c>
      <c r="B90" s="71">
        <v>2060</v>
      </c>
      <c r="C90" s="68">
        <f>'ІІ. Розр. з бюджетом'!C18</f>
        <v>-16415</v>
      </c>
      <c r="D90" s="68">
        <f>'ІІ. Розр. з бюджетом'!D18</f>
        <v>-13011</v>
      </c>
      <c r="E90" s="68">
        <f>'ІІ. Розр. з бюджетом'!E18</f>
        <v>0</v>
      </c>
      <c r="F90" s="68">
        <f>'ІІ. Розр. з бюджетом'!F18</f>
        <v>-13011</v>
      </c>
      <c r="G90" s="68">
        <f t="shared" si="3"/>
        <v>-13011</v>
      </c>
      <c r="H90" s="68">
        <v>0</v>
      </c>
    </row>
    <row r="91" spans="1:8" s="59" customFormat="1" ht="24" customHeight="1" x14ac:dyDescent="0.2">
      <c r="A91" s="61" t="s">
        <v>108</v>
      </c>
      <c r="B91" s="71">
        <v>2070</v>
      </c>
      <c r="C91" s="68">
        <f>'ІІ. Розр. з бюджетом'!C21</f>
        <v>-744876</v>
      </c>
      <c r="D91" s="68">
        <f>'ІІ. Розр. з бюджетом'!D21</f>
        <v>-770136</v>
      </c>
      <c r="E91" s="68">
        <f>'ІІ. Розр. з бюджетом'!E21</f>
        <v>-706336</v>
      </c>
      <c r="F91" s="68">
        <f>'ІІ. Розр. з бюджетом'!F21</f>
        <v>-770136</v>
      </c>
      <c r="G91" s="68">
        <f t="shared" si="3"/>
        <v>-63800</v>
      </c>
      <c r="H91" s="68">
        <f>F91/E91*100</f>
        <v>109.03252842839667</v>
      </c>
    </row>
    <row r="92" spans="1:8" s="59" customFormat="1" ht="12.95" customHeight="1" x14ac:dyDescent="0.2">
      <c r="A92" s="144" t="s">
        <v>109</v>
      </c>
      <c r="B92" s="144"/>
      <c r="C92" s="144"/>
      <c r="D92" s="144"/>
      <c r="E92" s="144"/>
      <c r="F92" s="144"/>
      <c r="G92" s="144"/>
      <c r="H92" s="144"/>
    </row>
    <row r="93" spans="1:8" s="59" customFormat="1" ht="27.75" customHeight="1" x14ac:dyDescent="0.2">
      <c r="A93" s="3" t="s">
        <v>110</v>
      </c>
      <c r="B93" s="12">
        <v>2110</v>
      </c>
      <c r="C93" s="69">
        <f>'ІІ. Розр. з бюджетом'!C23</f>
        <v>-3890.7999999999988</v>
      </c>
      <c r="D93" s="69">
        <f>'ІІ. Розр. з бюджетом'!D23</f>
        <v>-5113.6000000000004</v>
      </c>
      <c r="E93" s="69">
        <f>'ІІ. Розр. з бюджетом'!E23</f>
        <v>3186</v>
      </c>
      <c r="F93" s="69">
        <f>'ІІ. Розр. з бюджетом'!F23</f>
        <v>-5113.6000000000004</v>
      </c>
      <c r="G93" s="69">
        <f>F93-E93</f>
        <v>-8299.6</v>
      </c>
      <c r="H93" s="69">
        <f>F93/E93*100</f>
        <v>-160.50219711236662</v>
      </c>
    </row>
    <row r="94" spans="1:8" s="59" customFormat="1" ht="12.95" customHeight="1" x14ac:dyDescent="0.2">
      <c r="A94" s="2" t="s">
        <v>111</v>
      </c>
      <c r="B94" s="71">
        <v>2111</v>
      </c>
      <c r="C94" s="68">
        <f>'ІІ. Розр. з бюджетом'!C24</f>
        <v>212.7</v>
      </c>
      <c r="D94" s="68">
        <f>'ІІ. Розр. з бюджетом'!D24</f>
        <v>650.29999999999995</v>
      </c>
      <c r="E94" s="68">
        <f>'ІІ. Розр. з бюджетом'!E24</f>
        <v>1300</v>
      </c>
      <c r="F94" s="68">
        <f>'ІІ. Розр. з бюджетом'!F24</f>
        <v>650.29999999999995</v>
      </c>
      <c r="G94" s="68">
        <f t="shared" ref="G94:G105" si="4">F94-E94</f>
        <v>-649.70000000000005</v>
      </c>
      <c r="H94" s="68">
        <v>0</v>
      </c>
    </row>
    <row r="95" spans="1:8" s="59" customFormat="1" ht="28.5" customHeight="1" x14ac:dyDescent="0.2">
      <c r="A95" s="2" t="s">
        <v>112</v>
      </c>
      <c r="B95" s="71">
        <v>2112</v>
      </c>
      <c r="C95" s="68">
        <f>'ІІ. Розр. з бюджетом'!C25</f>
        <v>0</v>
      </c>
      <c r="D95" s="68">
        <f>'ІІ. Розр. з бюджетом'!D25</f>
        <v>0</v>
      </c>
      <c r="E95" s="68">
        <f>'ІІ. Розр. з бюджетом'!E25</f>
        <v>0</v>
      </c>
      <c r="F95" s="68">
        <f>'ІІ. Розр. з бюджетом'!F25</f>
        <v>0</v>
      </c>
      <c r="G95" s="68">
        <f t="shared" si="4"/>
        <v>0</v>
      </c>
      <c r="H95" s="68">
        <v>0</v>
      </c>
    </row>
    <row r="96" spans="1:8" s="59" customFormat="1" ht="27.75" customHeight="1" x14ac:dyDescent="0.2">
      <c r="A96" s="2" t="s">
        <v>113</v>
      </c>
      <c r="B96" s="71">
        <v>2113</v>
      </c>
      <c r="C96" s="68">
        <f>'ІІ. Розр. з бюджетом'!C26</f>
        <v>-8860.2000000000007</v>
      </c>
      <c r="D96" s="68">
        <f>'ІІ. Розр. з бюджетом'!D26</f>
        <v>-15981.9</v>
      </c>
      <c r="E96" s="68">
        <f>'ІІ. Розр. з бюджетом'!E26</f>
        <v>-7000</v>
      </c>
      <c r="F96" s="68">
        <f>'ІІ. Розр. з бюджетом'!F26</f>
        <v>-15981.9</v>
      </c>
      <c r="G96" s="68">
        <f t="shared" si="4"/>
        <v>-8981.9</v>
      </c>
      <c r="H96" s="68">
        <f t="shared" ref="H96:H105" si="5">F96/E96*100</f>
        <v>228.31285714285713</v>
      </c>
    </row>
    <row r="97" spans="1:8" s="59" customFormat="1" ht="12.95" customHeight="1" x14ac:dyDescent="0.2">
      <c r="A97" s="2" t="s">
        <v>114</v>
      </c>
      <c r="B97" s="71">
        <v>2114</v>
      </c>
      <c r="C97" s="68">
        <f>'ІІ. Розр. з бюджетом'!C27</f>
        <v>234.6</v>
      </c>
      <c r="D97" s="68">
        <f>'ІІ. Розр. з бюджетом'!D27</f>
        <v>218</v>
      </c>
      <c r="E97" s="68">
        <f>'ІІ. Розр. з бюджетом'!E27</f>
        <v>0</v>
      </c>
      <c r="F97" s="68">
        <f>'ІІ. Розр. з бюджетом'!F27</f>
        <v>218</v>
      </c>
      <c r="G97" s="68">
        <f t="shared" si="4"/>
        <v>218</v>
      </c>
      <c r="H97" s="68">
        <v>0</v>
      </c>
    </row>
    <row r="98" spans="1:8" s="59" customFormat="1" ht="27.75" customHeight="1" x14ac:dyDescent="0.2">
      <c r="A98" s="2" t="s">
        <v>115</v>
      </c>
      <c r="B98" s="71">
        <v>2115</v>
      </c>
      <c r="C98" s="68" t="str">
        <f>'ІІ. Розр. з бюджетом'!C28</f>
        <v>0,0</v>
      </c>
      <c r="D98" s="68" t="str">
        <f>'ІІ. Розр. з бюджетом'!D28</f>
        <v>0,0</v>
      </c>
      <c r="E98" s="68" t="str">
        <f>'ІІ. Розр. з бюджетом'!E28</f>
        <v>0,0</v>
      </c>
      <c r="F98" s="68" t="str">
        <f>'ІІ. Розр. з бюджетом'!F28</f>
        <v>0,0</v>
      </c>
      <c r="G98" s="68">
        <f t="shared" si="4"/>
        <v>0</v>
      </c>
      <c r="H98" s="68">
        <v>0</v>
      </c>
    </row>
    <row r="99" spans="1:8" s="59" customFormat="1" ht="18" customHeight="1" x14ac:dyDescent="0.2">
      <c r="A99" s="2" t="s">
        <v>116</v>
      </c>
      <c r="B99" s="71">
        <v>2116</v>
      </c>
      <c r="C99" s="68" t="str">
        <f>'ІІ. Розр. з бюджетом'!C29</f>
        <v>0,0</v>
      </c>
      <c r="D99" s="68" t="str">
        <f>'ІІ. Розр. з бюджетом'!D29</f>
        <v>0,0</v>
      </c>
      <c r="E99" s="68" t="str">
        <f>'ІІ. Розр. з бюджетом'!E29</f>
        <v>0,0</v>
      </c>
      <c r="F99" s="68" t="str">
        <f>'ІІ. Розр. з бюджетом'!F29</f>
        <v>0,0</v>
      </c>
      <c r="G99" s="68">
        <f t="shared" si="4"/>
        <v>0</v>
      </c>
      <c r="H99" s="68">
        <v>0</v>
      </c>
    </row>
    <row r="100" spans="1:8" s="59" customFormat="1" ht="12.95" customHeight="1" x14ac:dyDescent="0.2">
      <c r="A100" s="2" t="s">
        <v>117</v>
      </c>
      <c r="B100" s="71">
        <v>2117</v>
      </c>
      <c r="C100" s="68" t="str">
        <f>'ІІ. Розр. з бюджетом'!C30</f>
        <v>0,0</v>
      </c>
      <c r="D100" s="68" t="str">
        <f>'ІІ. Розр. з бюджетом'!D30</f>
        <v>0,0</v>
      </c>
      <c r="E100" s="68" t="str">
        <f>'ІІ. Розр. з бюджетом'!E30</f>
        <v>0,0</v>
      </c>
      <c r="F100" s="68" t="str">
        <f>'ІІ. Розр. з бюджетом'!F30</f>
        <v>0,0</v>
      </c>
      <c r="G100" s="68">
        <f t="shared" si="4"/>
        <v>0</v>
      </c>
      <c r="H100" s="68">
        <v>0</v>
      </c>
    </row>
    <row r="101" spans="1:8" s="59" customFormat="1" ht="27.75" customHeight="1" x14ac:dyDescent="0.2">
      <c r="A101" s="3" t="s">
        <v>118</v>
      </c>
      <c r="B101" s="12">
        <v>2120</v>
      </c>
      <c r="C101" s="69">
        <f>'ІІ. Розр. з бюджетом'!C34</f>
        <v>33038.800000000003</v>
      </c>
      <c r="D101" s="69">
        <f>'ІІ. Розр. з бюджетом'!D34</f>
        <v>37398.6</v>
      </c>
      <c r="E101" s="69">
        <f>'ІІ. Розр. з бюджетом'!E34</f>
        <v>29392</v>
      </c>
      <c r="F101" s="69">
        <f>'ІІ. Розр. з бюджетом'!F34</f>
        <v>37398.6</v>
      </c>
      <c r="G101" s="69">
        <f t="shared" si="4"/>
        <v>8006.5999999999985</v>
      </c>
      <c r="H101" s="69">
        <f t="shared" si="5"/>
        <v>127.24074578116493</v>
      </c>
    </row>
    <row r="102" spans="1:8" s="59" customFormat="1" ht="28.5" customHeight="1" x14ac:dyDescent="0.2">
      <c r="A102" s="3" t="s">
        <v>119</v>
      </c>
      <c r="B102" s="12">
        <v>2130</v>
      </c>
      <c r="C102" s="69">
        <f>'ІІ. Розр. з бюджетом'!C41</f>
        <v>36042.800000000003</v>
      </c>
      <c r="D102" s="69">
        <f>'ІІ. Розр. з бюджетом'!D41</f>
        <v>42590.400000000001</v>
      </c>
      <c r="E102" s="69">
        <f>'ІІ. Розр. з бюджетом'!E41</f>
        <v>38320</v>
      </c>
      <c r="F102" s="69">
        <f>'ІІ. Розр. з бюджетом'!F41</f>
        <v>42590.400000000001</v>
      </c>
      <c r="G102" s="69">
        <f t="shared" si="4"/>
        <v>4270.4000000000015</v>
      </c>
      <c r="H102" s="69">
        <f t="shared" si="5"/>
        <v>111.14405010438414</v>
      </c>
    </row>
    <row r="103" spans="1:8" s="59" customFormat="1" ht="54" customHeight="1" x14ac:dyDescent="0.2">
      <c r="A103" s="2" t="s">
        <v>120</v>
      </c>
      <c r="B103" s="71">
        <v>2131</v>
      </c>
      <c r="C103" s="68">
        <f>'ІІ. Розр. з бюджетом'!C42</f>
        <v>1124.3</v>
      </c>
      <c r="D103" s="68">
        <f>'ІІ. Розр. з бюджетом'!D42</f>
        <v>3614</v>
      </c>
      <c r="E103" s="68">
        <f>'ІІ. Розр. з бюджетом'!E42</f>
        <v>5420</v>
      </c>
      <c r="F103" s="68">
        <f>'ІІ. Розр. з бюджетом'!F42</f>
        <v>3614</v>
      </c>
      <c r="G103" s="68">
        <f t="shared" si="4"/>
        <v>-1806</v>
      </c>
      <c r="H103" s="68">
        <v>0</v>
      </c>
    </row>
    <row r="104" spans="1:8" s="59" customFormat="1" ht="27.75" customHeight="1" x14ac:dyDescent="0.2">
      <c r="A104" s="2" t="s">
        <v>121</v>
      </c>
      <c r="B104" s="71">
        <v>2133</v>
      </c>
      <c r="C104" s="68">
        <f>'ІІ. Розр. з бюджетом'!C44</f>
        <v>34918.5</v>
      </c>
      <c r="D104" s="68">
        <f>'ІІ. Розр. з бюджетом'!D44</f>
        <v>38976.400000000001</v>
      </c>
      <c r="E104" s="68">
        <f>'ІІ. Розр. з бюджетом'!E44</f>
        <v>32900</v>
      </c>
      <c r="F104" s="68">
        <f>'ІІ. Розр. з бюджетом'!F44</f>
        <v>38976.400000000001</v>
      </c>
      <c r="G104" s="68">
        <f t="shared" si="4"/>
        <v>6076.4000000000015</v>
      </c>
      <c r="H104" s="68">
        <f t="shared" si="5"/>
        <v>118.46930091185411</v>
      </c>
    </row>
    <row r="105" spans="1:8" s="59" customFormat="1" ht="12.95" customHeight="1" x14ac:dyDescent="0.2">
      <c r="A105" s="3" t="s">
        <v>122</v>
      </c>
      <c r="B105" s="12">
        <v>2200</v>
      </c>
      <c r="C105" s="69">
        <f>'ІІ. Розр. з бюджетом'!C52</f>
        <v>65190.8</v>
      </c>
      <c r="D105" s="69">
        <f>'ІІ. Розр. з бюджетом'!D52</f>
        <v>74927.7</v>
      </c>
      <c r="E105" s="69">
        <f>'ІІ. Розр. з бюджетом'!E52</f>
        <v>70898</v>
      </c>
      <c r="F105" s="69">
        <f>'ІІ. Розр. з бюджетом'!F52</f>
        <v>74927.7</v>
      </c>
      <c r="G105" s="69">
        <f t="shared" si="4"/>
        <v>4029.6999999999971</v>
      </c>
      <c r="H105" s="69">
        <f t="shared" si="5"/>
        <v>105.68379926091002</v>
      </c>
    </row>
    <row r="106" spans="1:8" s="59" customFormat="1" ht="12.95" customHeight="1" x14ac:dyDescent="0.2">
      <c r="A106" s="134" t="s">
        <v>123</v>
      </c>
      <c r="B106" s="134"/>
      <c r="C106" s="134"/>
      <c r="D106" s="134"/>
      <c r="E106" s="134"/>
      <c r="F106" s="134"/>
      <c r="G106" s="134"/>
      <c r="H106" s="134"/>
    </row>
    <row r="107" spans="1:8" s="59" customFormat="1" ht="12.95" customHeight="1" x14ac:dyDescent="0.2">
      <c r="A107" s="3" t="s">
        <v>124</v>
      </c>
      <c r="B107" s="12">
        <v>3405</v>
      </c>
      <c r="C107" s="69">
        <f>'ІІІ. Рух грош. коштів'!C88</f>
        <v>20188</v>
      </c>
      <c r="D107" s="69">
        <f>'ІІІ. Рух грош. коштів'!D88</f>
        <v>14807</v>
      </c>
      <c r="E107" s="69">
        <f>'ІІІ. Рух грош. коштів'!E88</f>
        <v>14807</v>
      </c>
      <c r="F107" s="69">
        <f>'ІІІ. Рух грош. коштів'!F88</f>
        <v>14807</v>
      </c>
      <c r="G107" s="26">
        <f t="shared" ref="G107:G113" si="6">F107-E107</f>
        <v>0</v>
      </c>
      <c r="H107" s="69">
        <f>F107/E107*100</f>
        <v>100</v>
      </c>
    </row>
    <row r="108" spans="1:8" s="59" customFormat="1" ht="12.95" customHeight="1" x14ac:dyDescent="0.2">
      <c r="A108" s="2" t="s">
        <v>125</v>
      </c>
      <c r="B108" s="71">
        <v>3030</v>
      </c>
      <c r="C108" s="68" t="str">
        <f>'ІІІ. Рух грош. коштів'!C11</f>
        <v>0,0</v>
      </c>
      <c r="D108" s="68" t="str">
        <f>'ІІІ. Рух грош. коштів'!D11</f>
        <v>0,0</v>
      </c>
      <c r="E108" s="68" t="str">
        <f>'ІІІ. Рух грош. коштів'!E11</f>
        <v>0,0</v>
      </c>
      <c r="F108" s="68" t="str">
        <f>'ІІІ. Рух грош. коштів'!F11</f>
        <v>0,0</v>
      </c>
      <c r="G108" s="4">
        <f t="shared" si="6"/>
        <v>0</v>
      </c>
      <c r="H108" s="68">
        <v>0</v>
      </c>
    </row>
    <row r="109" spans="1:8" s="59" customFormat="1" ht="12.95" customHeight="1" x14ac:dyDescent="0.2">
      <c r="A109" s="2" t="s">
        <v>126</v>
      </c>
      <c r="B109" s="71">
        <v>3195</v>
      </c>
      <c r="C109" s="68">
        <f>'ІІІ. Рух грош. коштів'!C46</f>
        <v>346</v>
      </c>
      <c r="D109" s="68">
        <f>'ІІІ. Рух грош. коштів'!D46</f>
        <v>-25420</v>
      </c>
      <c r="E109" s="68">
        <f>'ІІІ. Рух грош. коштів'!E46</f>
        <v>-39121</v>
      </c>
      <c r="F109" s="68">
        <f>'ІІІ. Рух грош. коштів'!F46</f>
        <v>-25420</v>
      </c>
      <c r="G109" s="4">
        <f t="shared" si="6"/>
        <v>13701</v>
      </c>
      <c r="H109" s="68">
        <f t="shared" ref="H109:H115" si="7">F109/E109*100</f>
        <v>64.97788911326397</v>
      </c>
    </row>
    <row r="110" spans="1:8" s="59" customFormat="1" ht="12.95" customHeight="1" x14ac:dyDescent="0.2">
      <c r="A110" s="2" t="s">
        <v>127</v>
      </c>
      <c r="B110" s="71">
        <v>3295</v>
      </c>
      <c r="C110" s="68">
        <f>'ІІІ. Рух грош. коштів'!C67</f>
        <v>-1943</v>
      </c>
      <c r="D110" s="68">
        <f>'ІІІ. Рух грош. коштів'!D67</f>
        <v>17409</v>
      </c>
      <c r="E110" s="68">
        <f>'ІІІ. Рух грош. коштів'!E67</f>
        <v>46094</v>
      </c>
      <c r="F110" s="68">
        <f>'ІІІ. Рух грош. коштів'!F67</f>
        <v>17409</v>
      </c>
      <c r="G110" s="4">
        <f t="shared" si="6"/>
        <v>-28685</v>
      </c>
      <c r="H110" s="68">
        <f t="shared" si="7"/>
        <v>37.768473120145792</v>
      </c>
    </row>
    <row r="111" spans="1:8" s="59" customFormat="1" ht="12.95" customHeight="1" x14ac:dyDescent="0.2">
      <c r="A111" s="2" t="s">
        <v>128</v>
      </c>
      <c r="B111" s="71">
        <v>3395</v>
      </c>
      <c r="C111" s="68">
        <f>'ІІІ. Рух грош. коштів'!C86</f>
        <v>-2783</v>
      </c>
      <c r="D111" s="68">
        <f>'ІІІ. Рух грош. коштів'!D86</f>
        <v>-1939</v>
      </c>
      <c r="E111" s="68">
        <f>'ІІІ. Рух грош. коштів'!E86</f>
        <v>0</v>
      </c>
      <c r="F111" s="68">
        <f>'ІІІ. Рух грош. коштів'!F86</f>
        <v>-1939</v>
      </c>
      <c r="G111" s="4">
        <f t="shared" si="6"/>
        <v>-1939</v>
      </c>
      <c r="H111" s="68">
        <v>0</v>
      </c>
    </row>
    <row r="112" spans="1:8" s="59" customFormat="1" ht="12.95" customHeight="1" x14ac:dyDescent="0.2">
      <c r="A112" s="2" t="s">
        <v>129</v>
      </c>
      <c r="B112" s="71">
        <v>3410</v>
      </c>
      <c r="C112" s="68">
        <f>'ІІІ. Рух грош. коштів'!C89</f>
        <v>-1001</v>
      </c>
      <c r="D112" s="68">
        <f>'ІІІ. Рух грош. коштів'!D89</f>
        <v>-1073</v>
      </c>
      <c r="E112" s="68" t="str">
        <f>'ІІІ. Рух грош. коштів'!E89</f>
        <v>0,0</v>
      </c>
      <c r="F112" s="68">
        <f>'ІІІ. Рух грош. коштів'!F89</f>
        <v>-1073</v>
      </c>
      <c r="G112" s="4">
        <f t="shared" si="6"/>
        <v>-1073</v>
      </c>
      <c r="H112" s="68">
        <v>0</v>
      </c>
    </row>
    <row r="113" spans="1:8" s="59" customFormat="1" ht="12.95" customHeight="1" x14ac:dyDescent="0.2">
      <c r="A113" s="3" t="s">
        <v>130</v>
      </c>
      <c r="B113" s="12">
        <v>3415</v>
      </c>
      <c r="C113" s="69">
        <f>'ІІІ. Рух грош. коштів'!C90</f>
        <v>14807</v>
      </c>
      <c r="D113" s="69">
        <f>'ІІІ. Рух грош. коштів'!D90</f>
        <v>3784</v>
      </c>
      <c r="E113" s="69">
        <f>'ІІІ. Рух грош. коштів'!E90</f>
        <v>21780</v>
      </c>
      <c r="F113" s="69">
        <f>'ІІІ. Рух грош. коштів'!F90</f>
        <v>3784</v>
      </c>
      <c r="G113" s="26">
        <f t="shared" si="6"/>
        <v>-17996</v>
      </c>
      <c r="H113" s="69">
        <f t="shared" si="7"/>
        <v>17.373737373737374</v>
      </c>
    </row>
    <row r="114" spans="1:8" s="59" customFormat="1" ht="12.95" customHeight="1" x14ac:dyDescent="0.2">
      <c r="A114" s="134" t="s">
        <v>131</v>
      </c>
      <c r="B114" s="134"/>
      <c r="C114" s="134"/>
      <c r="D114" s="134"/>
      <c r="E114" s="134"/>
      <c r="F114" s="134"/>
      <c r="G114" s="134"/>
      <c r="H114" s="134"/>
    </row>
    <row r="115" spans="1:8" s="59" customFormat="1" ht="12.95" customHeight="1" x14ac:dyDescent="0.2">
      <c r="A115" s="3" t="s">
        <v>132</v>
      </c>
      <c r="B115" s="12">
        <v>4000</v>
      </c>
      <c r="C115" s="69">
        <f>'IV. Кап. інвестиції'!C6</f>
        <v>30293</v>
      </c>
      <c r="D115" s="69">
        <f>'IV. Кап. інвестиції'!D6</f>
        <v>5799</v>
      </c>
      <c r="E115" s="69">
        <f>'IV. Кап. інвестиції'!E6</f>
        <v>24305</v>
      </c>
      <c r="F115" s="69">
        <f>'IV. Кап. інвестиції'!F6</f>
        <v>5799</v>
      </c>
      <c r="G115" s="72">
        <f>F115-E115</f>
        <v>-18506</v>
      </c>
      <c r="H115" s="69">
        <f t="shared" si="7"/>
        <v>23.859288212301998</v>
      </c>
    </row>
    <row r="116" spans="1:8" s="59" customFormat="1" ht="12.95" customHeight="1" x14ac:dyDescent="0.2">
      <c r="A116" s="2" t="s">
        <v>133</v>
      </c>
      <c r="B116" s="71">
        <v>4010</v>
      </c>
      <c r="C116" s="68">
        <f>'IV. Кап. інвестиції'!C7</f>
        <v>0</v>
      </c>
      <c r="D116" s="68">
        <f>'IV. Кап. інвестиції'!D7</f>
        <v>0</v>
      </c>
      <c r="E116" s="68">
        <f>'IV. Кап. інвестиції'!E7</f>
        <v>5000</v>
      </c>
      <c r="F116" s="68">
        <f>'IV. Кап. інвестиції'!F7</f>
        <v>0</v>
      </c>
      <c r="G116" s="67">
        <f t="shared" ref="G116:G126" si="8">F116-E116</f>
        <v>-5000</v>
      </c>
      <c r="H116" s="68">
        <v>0</v>
      </c>
    </row>
    <row r="117" spans="1:8" s="59" customFormat="1" ht="12.95" customHeight="1" x14ac:dyDescent="0.2">
      <c r="A117" s="2" t="s">
        <v>134</v>
      </c>
      <c r="B117" s="71">
        <v>4020</v>
      </c>
      <c r="C117" s="68">
        <f>'IV. Кап. інвестиції'!C8</f>
        <v>6350</v>
      </c>
      <c r="D117" s="68">
        <f>'IV. Кап. інвестиції'!D8</f>
        <v>4779</v>
      </c>
      <c r="E117" s="68">
        <f>'IV. Кап. інвестиції'!E8</f>
        <v>10940</v>
      </c>
      <c r="F117" s="68">
        <f>'IV. Кап. інвестиції'!F8</f>
        <v>4779</v>
      </c>
      <c r="G117" s="67">
        <f t="shared" si="8"/>
        <v>-6161</v>
      </c>
      <c r="H117" s="68">
        <f t="shared" ref="H117:H125" si="9">F117/E117*100</f>
        <v>43.683729433272397</v>
      </c>
    </row>
    <row r="118" spans="1:8" s="59" customFormat="1" ht="24.75" customHeight="1" x14ac:dyDescent="0.2">
      <c r="A118" s="2" t="s">
        <v>135</v>
      </c>
      <c r="B118" s="71">
        <v>4030</v>
      </c>
      <c r="C118" s="68" t="str">
        <f>'IV. Кап. інвестиції'!C9</f>
        <v>0,0</v>
      </c>
      <c r="D118" s="68" t="str">
        <f>'IV. Кап. інвестиції'!D9</f>
        <v>0,0</v>
      </c>
      <c r="E118" s="68" t="str">
        <f>'IV. Кап. інвестиції'!E9</f>
        <v>0,0</v>
      </c>
      <c r="F118" s="68" t="str">
        <f>'IV. Кап. інвестиції'!F9</f>
        <v>0,0</v>
      </c>
      <c r="G118" s="67">
        <f t="shared" si="8"/>
        <v>0</v>
      </c>
      <c r="H118" s="68">
        <v>0</v>
      </c>
    </row>
    <row r="119" spans="1:8" s="59" customFormat="1" ht="12.95" customHeight="1" x14ac:dyDescent="0.2">
      <c r="A119" s="2" t="s">
        <v>136</v>
      </c>
      <c r="B119" s="71">
        <v>4040</v>
      </c>
      <c r="C119" s="68">
        <f>'IV. Кап. інвестиції'!C10</f>
        <v>1875</v>
      </c>
      <c r="D119" s="68">
        <f>'IV. Кап. інвестиції'!D10</f>
        <v>1020</v>
      </c>
      <c r="E119" s="68">
        <f>'IV. Кап. інвестиції'!E10</f>
        <v>1960</v>
      </c>
      <c r="F119" s="68">
        <f>'IV. Кап. інвестиції'!F10</f>
        <v>1020</v>
      </c>
      <c r="G119" s="67">
        <f t="shared" si="8"/>
        <v>-940</v>
      </c>
      <c r="H119" s="68">
        <f t="shared" si="9"/>
        <v>52.040816326530617</v>
      </c>
    </row>
    <row r="120" spans="1:8" s="59" customFormat="1" ht="25.5" customHeight="1" x14ac:dyDescent="0.2">
      <c r="A120" s="2" t="s">
        <v>137</v>
      </c>
      <c r="B120" s="71">
        <v>4050</v>
      </c>
      <c r="C120" s="68">
        <f>'IV. Кап. інвестиції'!C11</f>
        <v>22068</v>
      </c>
      <c r="D120" s="68">
        <f>'IV. Кап. інвестиції'!D11</f>
        <v>0</v>
      </c>
      <c r="E120" s="68">
        <f>'IV. Кап. інвестиції'!E11</f>
        <v>6405</v>
      </c>
      <c r="F120" s="68">
        <f>'IV. Кап. інвестиції'!F11</f>
        <v>0</v>
      </c>
      <c r="G120" s="67">
        <f t="shared" si="8"/>
        <v>-6405</v>
      </c>
      <c r="H120" s="68" t="s">
        <v>426</v>
      </c>
    </row>
    <row r="121" spans="1:8" s="59" customFormat="1" ht="12.95" customHeight="1" x14ac:dyDescent="0.2">
      <c r="A121" s="2" t="s">
        <v>138</v>
      </c>
      <c r="B121" s="71">
        <v>4060</v>
      </c>
      <c r="C121" s="68">
        <f>'IV. Кап. інвестиції'!C12</f>
        <v>0</v>
      </c>
      <c r="D121" s="68">
        <f>'IV. Кап. інвестиції'!D12</f>
        <v>0</v>
      </c>
      <c r="E121" s="68">
        <f>'IV. Кап. інвестиції'!E12</f>
        <v>0</v>
      </c>
      <c r="F121" s="68">
        <f>'IV. Кап. інвестиції'!F12</f>
        <v>0</v>
      </c>
      <c r="G121" s="67">
        <f t="shared" si="8"/>
        <v>0</v>
      </c>
      <c r="H121" s="68" t="s">
        <v>426</v>
      </c>
    </row>
    <row r="122" spans="1:8" s="59" customFormat="1" ht="12.95" customHeight="1" x14ac:dyDescent="0.2">
      <c r="A122" s="3" t="s">
        <v>139</v>
      </c>
      <c r="B122" s="12">
        <v>4000</v>
      </c>
      <c r="C122" s="69">
        <f>C115</f>
        <v>30293</v>
      </c>
      <c r="D122" s="69">
        <f>SUM(D123:D126)</f>
        <v>5799</v>
      </c>
      <c r="E122" s="69">
        <f>SUM(E123:E126)</f>
        <v>24305</v>
      </c>
      <c r="F122" s="69">
        <f>SUM(F123:F126)</f>
        <v>5799</v>
      </c>
      <c r="G122" s="72">
        <f t="shared" si="8"/>
        <v>-18506</v>
      </c>
      <c r="H122" s="69">
        <f t="shared" si="9"/>
        <v>23.859288212301998</v>
      </c>
    </row>
    <row r="123" spans="1:8" s="59" customFormat="1" ht="12.95" customHeight="1" x14ac:dyDescent="0.2">
      <c r="A123" s="2" t="s">
        <v>140</v>
      </c>
      <c r="B123" s="65" t="s">
        <v>141</v>
      </c>
      <c r="C123" s="68">
        <v>0</v>
      </c>
      <c r="D123" s="65">
        <v>0</v>
      </c>
      <c r="E123" s="65">
        <v>0</v>
      </c>
      <c r="F123" s="65">
        <v>0</v>
      </c>
      <c r="G123" s="67">
        <f t="shared" si="8"/>
        <v>0</v>
      </c>
      <c r="H123" s="68">
        <v>0</v>
      </c>
    </row>
    <row r="124" spans="1:8" s="59" customFormat="1" ht="12.95" customHeight="1" x14ac:dyDescent="0.2">
      <c r="A124" s="2" t="s">
        <v>142</v>
      </c>
      <c r="B124" s="65" t="s">
        <v>143</v>
      </c>
      <c r="C124" s="65" t="s">
        <v>51</v>
      </c>
      <c r="D124" s="65" t="s">
        <v>51</v>
      </c>
      <c r="E124" s="65" t="s">
        <v>51</v>
      </c>
      <c r="F124" s="65" t="s">
        <v>51</v>
      </c>
      <c r="G124" s="67">
        <f t="shared" si="8"/>
        <v>0</v>
      </c>
      <c r="H124" s="68">
        <v>0</v>
      </c>
    </row>
    <row r="125" spans="1:8" s="59" customFormat="1" ht="12.95" customHeight="1" x14ac:dyDescent="0.2">
      <c r="A125" s="2" t="s">
        <v>144</v>
      </c>
      <c r="B125" s="65" t="s">
        <v>145</v>
      </c>
      <c r="C125" s="68">
        <f>'IV. Кап. інвестиції'!C6</f>
        <v>30293</v>
      </c>
      <c r="D125" s="68">
        <f>'IV. Кап. інвестиції'!D6</f>
        <v>5799</v>
      </c>
      <c r="E125" s="68">
        <f>'IV. Кап. інвестиції'!E6</f>
        <v>24305</v>
      </c>
      <c r="F125" s="68">
        <f>'IV. Кап. інвестиції'!F6</f>
        <v>5799</v>
      </c>
      <c r="G125" s="67">
        <f t="shared" si="8"/>
        <v>-18506</v>
      </c>
      <c r="H125" s="68">
        <f t="shared" si="9"/>
        <v>23.859288212301998</v>
      </c>
    </row>
    <row r="126" spans="1:8" s="59" customFormat="1" ht="12.95" customHeight="1" x14ac:dyDescent="0.2">
      <c r="A126" s="2" t="s">
        <v>146</v>
      </c>
      <c r="B126" s="65" t="s">
        <v>147</v>
      </c>
      <c r="C126" s="65" t="s">
        <v>51</v>
      </c>
      <c r="D126" s="65" t="s">
        <v>51</v>
      </c>
      <c r="E126" s="65" t="s">
        <v>51</v>
      </c>
      <c r="F126" s="65" t="s">
        <v>51</v>
      </c>
      <c r="G126" s="67">
        <f t="shared" si="8"/>
        <v>0</v>
      </c>
      <c r="H126" s="68">
        <v>0</v>
      </c>
    </row>
    <row r="127" spans="1:8" s="59" customFormat="1" ht="12.95" customHeight="1" x14ac:dyDescent="0.2">
      <c r="A127" s="134" t="s">
        <v>148</v>
      </c>
      <c r="B127" s="134"/>
      <c r="C127" s="134"/>
      <c r="D127" s="134"/>
      <c r="E127" s="134"/>
      <c r="F127" s="134"/>
      <c r="G127" s="134"/>
      <c r="H127" s="134"/>
    </row>
    <row r="128" spans="1:8" s="59" customFormat="1" ht="12.95" customHeight="1" x14ac:dyDescent="0.2">
      <c r="A128" s="2" t="s">
        <v>149</v>
      </c>
      <c r="B128" s="71">
        <v>5040</v>
      </c>
      <c r="C128" s="67">
        <f>C63/C31*100</f>
        <v>0.81161412172639802</v>
      </c>
      <c r="D128" s="67">
        <f>D63/D31*100</f>
        <v>-0.98851785284993077</v>
      </c>
      <c r="E128" s="67">
        <f>E63/E31*100</f>
        <v>4.4890581759882364</v>
      </c>
      <c r="F128" s="67">
        <f>F63/F31*100</f>
        <v>-0.98851785284993077</v>
      </c>
      <c r="G128" s="68">
        <f>F128-E128</f>
        <v>-5.4775760288381674</v>
      </c>
      <c r="H128" s="68">
        <f>F128/E128*100</f>
        <v>-22.020606864430199</v>
      </c>
    </row>
    <row r="129" spans="1:8" s="59" customFormat="1" ht="12.95" customHeight="1" x14ac:dyDescent="0.2">
      <c r="A129" s="2" t="s">
        <v>150</v>
      </c>
      <c r="B129" s="71">
        <v>5020</v>
      </c>
      <c r="C129" s="67">
        <f>C63/C140*100</f>
        <v>2.0021273295366413</v>
      </c>
      <c r="D129" s="67">
        <f>D63/D140*100</f>
        <v>-2.0260441107461289</v>
      </c>
      <c r="E129" s="65" t="s">
        <v>156</v>
      </c>
      <c r="F129" s="65" t="s">
        <v>156</v>
      </c>
      <c r="G129" s="65" t="s">
        <v>156</v>
      </c>
      <c r="H129" s="65" t="s">
        <v>156</v>
      </c>
    </row>
    <row r="130" spans="1:8" s="59" customFormat="1" ht="12.95" customHeight="1" x14ac:dyDescent="0.2">
      <c r="A130" s="2" t="s">
        <v>151</v>
      </c>
      <c r="B130" s="71">
        <v>5030</v>
      </c>
      <c r="C130" s="67">
        <f>C63/C146*100</f>
        <v>4.9898174036105072</v>
      </c>
      <c r="D130" s="67">
        <f>D63/D146*100</f>
        <v>-7.2259414225941425</v>
      </c>
      <c r="E130" s="65" t="s">
        <v>156</v>
      </c>
      <c r="F130" s="65" t="s">
        <v>156</v>
      </c>
      <c r="G130" s="65" t="s">
        <v>156</v>
      </c>
      <c r="H130" s="65" t="s">
        <v>156</v>
      </c>
    </row>
    <row r="131" spans="1:8" s="59" customFormat="1" ht="12.95" customHeight="1" x14ac:dyDescent="0.2">
      <c r="A131" s="2" t="s">
        <v>152</v>
      </c>
      <c r="B131" s="71">
        <v>5110</v>
      </c>
      <c r="C131" s="67">
        <f>C146/C143</f>
        <v>0.67012550830168249</v>
      </c>
      <c r="D131" s="67">
        <f>D146/D143</f>
        <v>0.38963156178676228</v>
      </c>
      <c r="E131" s="65" t="s">
        <v>156</v>
      </c>
      <c r="F131" s="65" t="s">
        <v>156</v>
      </c>
      <c r="G131" s="65" t="s">
        <v>156</v>
      </c>
      <c r="H131" s="65" t="s">
        <v>156</v>
      </c>
    </row>
    <row r="132" spans="1:8" s="59" customFormat="1" ht="12.95" customHeight="1" x14ac:dyDescent="0.2">
      <c r="A132" s="2" t="s">
        <v>153</v>
      </c>
      <c r="B132" s="71">
        <v>5220</v>
      </c>
      <c r="C132" s="67">
        <f>C137/C136</f>
        <v>0.89356892626653461</v>
      </c>
      <c r="D132" s="67">
        <f>D137/D136</f>
        <v>0.90223599164596302</v>
      </c>
      <c r="E132" s="65" t="s">
        <v>156</v>
      </c>
      <c r="F132" s="65" t="s">
        <v>156</v>
      </c>
      <c r="G132" s="65" t="s">
        <v>156</v>
      </c>
      <c r="H132" s="65" t="s">
        <v>156</v>
      </c>
    </row>
    <row r="133" spans="1:8" s="59" customFormat="1" ht="12.95" customHeight="1" x14ac:dyDescent="0.2">
      <c r="A133" s="134" t="s">
        <v>154</v>
      </c>
      <c r="B133" s="134"/>
      <c r="C133" s="134"/>
      <c r="D133" s="134"/>
      <c r="E133" s="134"/>
      <c r="F133" s="134"/>
      <c r="G133" s="134"/>
      <c r="H133" s="134"/>
    </row>
    <row r="134" spans="1:8" s="59" customFormat="1" ht="12.95" customHeight="1" x14ac:dyDescent="0.2">
      <c r="A134" s="2" t="s">
        <v>155</v>
      </c>
      <c r="B134" s="71">
        <v>6000</v>
      </c>
      <c r="C134" s="68">
        <v>133147</v>
      </c>
      <c r="D134" s="68">
        <v>124256</v>
      </c>
      <c r="E134" s="68">
        <v>143764</v>
      </c>
      <c r="F134" s="65" t="s">
        <v>156</v>
      </c>
      <c r="G134" s="65" t="s">
        <v>156</v>
      </c>
      <c r="H134" s="65" t="s">
        <v>156</v>
      </c>
    </row>
    <row r="135" spans="1:8" s="59" customFormat="1" ht="12.95" customHeight="1" x14ac:dyDescent="0.2">
      <c r="A135" s="2" t="s">
        <v>157</v>
      </c>
      <c r="B135" s="71">
        <v>6001</v>
      </c>
      <c r="C135" s="68">
        <v>86069</v>
      </c>
      <c r="D135" s="68">
        <v>79016</v>
      </c>
      <c r="E135" s="68">
        <v>96686</v>
      </c>
      <c r="F135" s="65" t="s">
        <v>156</v>
      </c>
      <c r="G135" s="65" t="s">
        <v>156</v>
      </c>
      <c r="H135" s="65" t="s">
        <v>156</v>
      </c>
    </row>
    <row r="136" spans="1:8" s="59" customFormat="1" ht="12.95" customHeight="1" x14ac:dyDescent="0.2">
      <c r="A136" s="2" t="s">
        <v>158</v>
      </c>
      <c r="B136" s="71">
        <v>6002</v>
      </c>
      <c r="C136" s="68">
        <v>808683</v>
      </c>
      <c r="D136" s="68">
        <v>808232</v>
      </c>
      <c r="E136" s="68">
        <v>833980</v>
      </c>
      <c r="F136" s="65" t="s">
        <v>156</v>
      </c>
      <c r="G136" s="65" t="s">
        <v>156</v>
      </c>
      <c r="H136" s="65" t="s">
        <v>156</v>
      </c>
    </row>
    <row r="137" spans="1:8" s="59" customFormat="1" ht="12.95" customHeight="1" x14ac:dyDescent="0.2">
      <c r="A137" s="2" t="s">
        <v>159</v>
      </c>
      <c r="B137" s="71">
        <v>6003</v>
      </c>
      <c r="C137" s="68">
        <v>722614</v>
      </c>
      <c r="D137" s="68">
        <v>729216</v>
      </c>
      <c r="E137" s="68">
        <v>737294</v>
      </c>
      <c r="F137" s="65" t="s">
        <v>156</v>
      </c>
      <c r="G137" s="65" t="s">
        <v>156</v>
      </c>
      <c r="H137" s="65" t="s">
        <v>156</v>
      </c>
    </row>
    <row r="138" spans="1:8" s="59" customFormat="1" ht="15" customHeight="1" x14ac:dyDescent="0.2">
      <c r="A138" s="73" t="s">
        <v>160</v>
      </c>
      <c r="B138" s="71">
        <v>6010</v>
      </c>
      <c r="C138" s="68">
        <v>226168</v>
      </c>
      <c r="D138" s="68">
        <v>301596</v>
      </c>
      <c r="E138" s="68">
        <v>133231</v>
      </c>
      <c r="F138" s="65" t="s">
        <v>156</v>
      </c>
      <c r="G138" s="65" t="s">
        <v>156</v>
      </c>
      <c r="H138" s="65" t="s">
        <v>156</v>
      </c>
    </row>
    <row r="139" spans="1:8" s="59" customFormat="1" ht="12.95" customHeight="1" x14ac:dyDescent="0.2">
      <c r="A139" s="2" t="s">
        <v>161</v>
      </c>
      <c r="B139" s="71">
        <v>6011</v>
      </c>
      <c r="C139" s="68">
        <v>14807</v>
      </c>
      <c r="D139" s="68">
        <v>3784</v>
      </c>
      <c r="E139" s="68">
        <v>21780</v>
      </c>
      <c r="F139" s="65" t="s">
        <v>156</v>
      </c>
      <c r="G139" s="65" t="s">
        <v>156</v>
      </c>
      <c r="H139" s="65" t="s">
        <v>156</v>
      </c>
    </row>
    <row r="140" spans="1:8" s="59" customFormat="1" ht="12.95" customHeight="1" x14ac:dyDescent="0.2">
      <c r="A140" s="3" t="s">
        <v>162</v>
      </c>
      <c r="B140" s="12">
        <v>6020</v>
      </c>
      <c r="C140" s="69">
        <v>361016</v>
      </c>
      <c r="D140" s="69">
        <v>426200</v>
      </c>
      <c r="E140" s="69">
        <v>276995</v>
      </c>
      <c r="F140" s="27" t="s">
        <v>156</v>
      </c>
      <c r="G140" s="27" t="s">
        <v>156</v>
      </c>
      <c r="H140" s="27" t="s">
        <v>156</v>
      </c>
    </row>
    <row r="141" spans="1:8" s="59" customFormat="1" ht="12.95" customHeight="1" x14ac:dyDescent="0.2">
      <c r="A141" s="2" t="s">
        <v>163</v>
      </c>
      <c r="B141" s="71">
        <v>6030</v>
      </c>
      <c r="C141" s="68">
        <v>0</v>
      </c>
      <c r="D141" s="68">
        <v>0</v>
      </c>
      <c r="E141" s="68">
        <v>0</v>
      </c>
      <c r="F141" s="65" t="s">
        <v>156</v>
      </c>
      <c r="G141" s="65" t="s">
        <v>156</v>
      </c>
      <c r="H141" s="65" t="s">
        <v>156</v>
      </c>
    </row>
    <row r="142" spans="1:8" s="59" customFormat="1" ht="12.95" customHeight="1" x14ac:dyDescent="0.2">
      <c r="A142" s="2" t="s">
        <v>164</v>
      </c>
      <c r="B142" s="71">
        <v>6040</v>
      </c>
      <c r="C142" s="68">
        <v>216161</v>
      </c>
      <c r="D142" s="68">
        <v>306700</v>
      </c>
      <c r="E142" s="68">
        <v>175320</v>
      </c>
      <c r="F142" s="65" t="s">
        <v>156</v>
      </c>
      <c r="G142" s="65" t="s">
        <v>156</v>
      </c>
      <c r="H142" s="65" t="s">
        <v>156</v>
      </c>
    </row>
    <row r="143" spans="1:8" s="59" customFormat="1" ht="13.5" customHeight="1" x14ac:dyDescent="0.2">
      <c r="A143" s="3" t="s">
        <v>165</v>
      </c>
      <c r="B143" s="12">
        <v>6050</v>
      </c>
      <c r="C143" s="69">
        <f>SUM(C141:C142)</f>
        <v>216161</v>
      </c>
      <c r="D143" s="69">
        <f>SUM(D141:D142)</f>
        <v>306700</v>
      </c>
      <c r="E143" s="69">
        <f>SUM(E141:E142)</f>
        <v>175320</v>
      </c>
      <c r="F143" s="27" t="s">
        <v>156</v>
      </c>
      <c r="G143" s="27" t="s">
        <v>156</v>
      </c>
      <c r="H143" s="27" t="s">
        <v>156</v>
      </c>
    </row>
    <row r="144" spans="1:8" s="59" customFormat="1" ht="12.95" customHeight="1" x14ac:dyDescent="0.2">
      <c r="A144" s="2" t="s">
        <v>166</v>
      </c>
      <c r="B144" s="71">
        <v>6060</v>
      </c>
      <c r="C144" s="65" t="s">
        <v>51</v>
      </c>
      <c r="D144" s="65" t="s">
        <v>51</v>
      </c>
      <c r="E144" s="65">
        <v>0</v>
      </c>
      <c r="F144" s="65" t="s">
        <v>156</v>
      </c>
      <c r="G144" s="65" t="s">
        <v>156</v>
      </c>
      <c r="H144" s="65" t="s">
        <v>156</v>
      </c>
    </row>
    <row r="145" spans="1:8" s="59" customFormat="1" ht="12.95" customHeight="1" x14ac:dyDescent="0.2">
      <c r="A145" s="2" t="s">
        <v>167</v>
      </c>
      <c r="B145" s="71">
        <v>6070</v>
      </c>
      <c r="C145" s="68">
        <v>0</v>
      </c>
      <c r="D145" s="68">
        <v>0</v>
      </c>
      <c r="E145" s="68">
        <v>0</v>
      </c>
      <c r="F145" s="65" t="s">
        <v>156</v>
      </c>
      <c r="G145" s="65" t="s">
        <v>156</v>
      </c>
      <c r="H145" s="65" t="s">
        <v>156</v>
      </c>
    </row>
    <row r="146" spans="1:8" s="59" customFormat="1" ht="12.95" customHeight="1" x14ac:dyDescent="0.2">
      <c r="A146" s="3" t="s">
        <v>168</v>
      </c>
      <c r="B146" s="12">
        <v>6080</v>
      </c>
      <c r="C146" s="69">
        <v>144855</v>
      </c>
      <c r="D146" s="69">
        <v>119500</v>
      </c>
      <c r="E146" s="69">
        <v>101675</v>
      </c>
      <c r="F146" s="27" t="s">
        <v>156</v>
      </c>
      <c r="G146" s="27" t="s">
        <v>156</v>
      </c>
      <c r="H146" s="27" t="s">
        <v>156</v>
      </c>
    </row>
    <row r="147" spans="1:8" s="59" customFormat="1" ht="12.95" customHeight="1" x14ac:dyDescent="0.2">
      <c r="A147" s="134" t="s">
        <v>169</v>
      </c>
      <c r="B147" s="134"/>
      <c r="C147" s="134"/>
      <c r="D147" s="134"/>
      <c r="E147" s="134"/>
      <c r="F147" s="134"/>
      <c r="G147" s="134"/>
      <c r="H147" s="134"/>
    </row>
    <row r="148" spans="1:8" s="59" customFormat="1" ht="12.95" customHeight="1" x14ac:dyDescent="0.2">
      <c r="A148" s="3" t="s">
        <v>170</v>
      </c>
      <c r="B148" s="12">
        <v>7000</v>
      </c>
      <c r="C148" s="69">
        <f>SUM(C149:C151)</f>
        <v>28000</v>
      </c>
      <c r="D148" s="69">
        <f>SUM(D149:D151)</f>
        <v>29639</v>
      </c>
      <c r="E148" s="69">
        <f>SUM(E149:E151)</f>
        <v>30000</v>
      </c>
      <c r="F148" s="69">
        <f>SUM(F149:F151)</f>
        <v>29639</v>
      </c>
      <c r="G148" s="69">
        <f>F148-E148</f>
        <v>-361</v>
      </c>
      <c r="H148" s="69">
        <v>0</v>
      </c>
    </row>
    <row r="149" spans="1:8" s="59" customFormat="1" ht="12.95" customHeight="1" x14ac:dyDescent="0.2">
      <c r="A149" s="2" t="s">
        <v>171</v>
      </c>
      <c r="B149" s="71">
        <v>7001</v>
      </c>
      <c r="C149" s="68" t="s">
        <v>51</v>
      </c>
      <c r="D149" s="68" t="s">
        <v>51</v>
      </c>
      <c r="E149" s="68">
        <f>'Iнформація до ФП'!F73</f>
        <v>0</v>
      </c>
      <c r="F149" s="68">
        <v>0</v>
      </c>
      <c r="G149" s="68">
        <f t="shared" ref="G149:G155" si="10">F149-E149</f>
        <v>0</v>
      </c>
      <c r="H149" s="68">
        <v>0</v>
      </c>
    </row>
    <row r="150" spans="1:8" s="59" customFormat="1" ht="12.95" customHeight="1" x14ac:dyDescent="0.2">
      <c r="A150" s="2" t="s">
        <v>172</v>
      </c>
      <c r="B150" s="71">
        <v>7002</v>
      </c>
      <c r="C150" s="68">
        <v>28000</v>
      </c>
      <c r="D150" s="68">
        <f>'ІІІ. Рух грош. коштів'!D14</f>
        <v>29639</v>
      </c>
      <c r="E150" s="68">
        <f>'Iнформація до ФП'!F75</f>
        <v>30000</v>
      </c>
      <c r="F150" s="68">
        <f>'Iнформація до ФП'!H75</f>
        <v>29639</v>
      </c>
      <c r="G150" s="68">
        <f t="shared" si="10"/>
        <v>-361</v>
      </c>
      <c r="H150" s="68">
        <v>0</v>
      </c>
    </row>
    <row r="151" spans="1:8" ht="11.45" customHeight="1" x14ac:dyDescent="0.2">
      <c r="A151" s="2" t="s">
        <v>173</v>
      </c>
      <c r="B151" s="71">
        <v>7003</v>
      </c>
      <c r="C151" s="68" t="s">
        <v>51</v>
      </c>
      <c r="D151" s="68" t="s">
        <v>51</v>
      </c>
      <c r="E151" s="68">
        <v>0</v>
      </c>
      <c r="F151" s="68">
        <v>0</v>
      </c>
      <c r="G151" s="68">
        <f t="shared" si="10"/>
        <v>0</v>
      </c>
      <c r="H151" s="68">
        <v>0</v>
      </c>
    </row>
    <row r="152" spans="1:8" ht="11.45" customHeight="1" x14ac:dyDescent="0.2">
      <c r="A152" s="3" t="s">
        <v>174</v>
      </c>
      <c r="B152" s="12">
        <v>7010</v>
      </c>
      <c r="C152" s="69">
        <f>SUM(C153:C155)</f>
        <v>29950</v>
      </c>
      <c r="D152" s="69">
        <f>SUM(D153:D155)</f>
        <v>12879</v>
      </c>
      <c r="E152" s="69">
        <f>SUM(E153:E155)</f>
        <v>30000</v>
      </c>
      <c r="F152" s="69">
        <f>SUM(F153:F155)</f>
        <v>12879</v>
      </c>
      <c r="G152" s="69">
        <f t="shared" si="10"/>
        <v>-17121</v>
      </c>
      <c r="H152" s="68">
        <v>0</v>
      </c>
    </row>
    <row r="153" spans="1:8" ht="11.45" customHeight="1" x14ac:dyDescent="0.2">
      <c r="A153" s="2" t="s">
        <v>171</v>
      </c>
      <c r="B153" s="71">
        <v>7011</v>
      </c>
      <c r="C153" s="68" t="s">
        <v>51</v>
      </c>
      <c r="D153" s="68" t="s">
        <v>51</v>
      </c>
      <c r="E153" s="68" t="s">
        <v>51</v>
      </c>
      <c r="F153" s="68" t="s">
        <v>51</v>
      </c>
      <c r="G153" s="68">
        <f t="shared" si="10"/>
        <v>0</v>
      </c>
      <c r="H153" s="68">
        <v>0</v>
      </c>
    </row>
    <row r="154" spans="1:8" ht="11.45" customHeight="1" x14ac:dyDescent="0.2">
      <c r="A154" s="2" t="s">
        <v>172</v>
      </c>
      <c r="B154" s="71">
        <v>7012</v>
      </c>
      <c r="C154" s="68">
        <v>28000</v>
      </c>
      <c r="D154" s="68">
        <f>'Iнформація до ФП'!L77</f>
        <v>12879</v>
      </c>
      <c r="E154" s="68">
        <f>'Iнформація до ФП'!J77</f>
        <v>30000</v>
      </c>
      <c r="F154" s="68">
        <f>'Iнформація до ФП'!L77</f>
        <v>12879</v>
      </c>
      <c r="G154" s="68">
        <f t="shared" si="10"/>
        <v>-17121</v>
      </c>
      <c r="H154" s="68">
        <v>0</v>
      </c>
    </row>
    <row r="155" spans="1:8" ht="11.45" customHeight="1" x14ac:dyDescent="0.2">
      <c r="A155" s="2" t="s">
        <v>173</v>
      </c>
      <c r="B155" s="71">
        <v>7013</v>
      </c>
      <c r="C155" s="68">
        <v>1950</v>
      </c>
      <c r="D155" s="68">
        <v>0</v>
      </c>
      <c r="E155" s="68">
        <f>'Iнформація до ФП'!J78</f>
        <v>0</v>
      </c>
      <c r="F155" s="68">
        <v>0</v>
      </c>
      <c r="G155" s="68">
        <f t="shared" si="10"/>
        <v>0</v>
      </c>
      <c r="H155" s="68">
        <v>0</v>
      </c>
    </row>
    <row r="156" spans="1:8" ht="11.45" customHeight="1" x14ac:dyDescent="0.2">
      <c r="A156" s="134" t="s">
        <v>175</v>
      </c>
      <c r="B156" s="134"/>
      <c r="C156" s="134"/>
      <c r="D156" s="134"/>
      <c r="E156" s="134"/>
      <c r="F156" s="134"/>
      <c r="G156" s="134"/>
      <c r="H156" s="134"/>
    </row>
    <row r="157" spans="1:8" ht="37.5" customHeight="1" x14ac:dyDescent="0.2">
      <c r="A157" s="37" t="s">
        <v>511</v>
      </c>
      <c r="B157" s="12">
        <v>8000</v>
      </c>
      <c r="C157" s="69">
        <v>1679</v>
      </c>
      <c r="D157" s="69" t="s">
        <v>156</v>
      </c>
      <c r="E157" s="69">
        <f>'Iнформація до ФП'!H12</f>
        <v>1674</v>
      </c>
      <c r="F157" s="69">
        <f>'Iнформація до ФП'!J12</f>
        <v>1686</v>
      </c>
      <c r="G157" s="69">
        <f>F157-E157</f>
        <v>12</v>
      </c>
      <c r="H157" s="69">
        <f>F157/E157*100</f>
        <v>100.71684587813621</v>
      </c>
    </row>
    <row r="158" spans="1:8" ht="11.25" customHeight="1" x14ac:dyDescent="0.2">
      <c r="A158" s="39" t="s">
        <v>548</v>
      </c>
      <c r="B158" s="71">
        <v>8001</v>
      </c>
      <c r="C158" s="68">
        <v>0</v>
      </c>
      <c r="D158" s="68" t="s">
        <v>156</v>
      </c>
      <c r="E158" s="68">
        <f>'Iнформація до ФП'!H13</f>
        <v>0</v>
      </c>
      <c r="F158" s="68">
        <f>'Iнформація до ФП'!J13</f>
        <v>0</v>
      </c>
      <c r="G158" s="68">
        <f>F158-E158</f>
        <v>0</v>
      </c>
      <c r="H158" s="68" t="s">
        <v>426</v>
      </c>
    </row>
    <row r="159" spans="1:8" ht="12" customHeight="1" x14ac:dyDescent="0.2">
      <c r="A159" s="39" t="s">
        <v>549</v>
      </c>
      <c r="B159" s="71">
        <v>8002</v>
      </c>
      <c r="C159" s="68">
        <v>0</v>
      </c>
      <c r="D159" s="68" t="s">
        <v>156</v>
      </c>
      <c r="E159" s="68">
        <f>'Iнформація до ФП'!H14</f>
        <v>8</v>
      </c>
      <c r="F159" s="68">
        <f>'Iнформація до ФП'!J14</f>
        <v>7</v>
      </c>
      <c r="G159" s="68">
        <f>F159-E159</f>
        <v>-1</v>
      </c>
      <c r="H159" s="68">
        <f>F159/E159*100</f>
        <v>87.5</v>
      </c>
    </row>
    <row r="160" spans="1:8" ht="11.45" customHeight="1" x14ac:dyDescent="0.2">
      <c r="A160" s="2" t="s">
        <v>550</v>
      </c>
      <c r="B160" s="71">
        <v>8003</v>
      </c>
      <c r="C160" s="68">
        <v>1</v>
      </c>
      <c r="D160" s="68" t="s">
        <v>156</v>
      </c>
      <c r="E160" s="68">
        <f>'Iнформація до ФП'!H15</f>
        <v>1</v>
      </c>
      <c r="F160" s="68">
        <f>'Iнформація до ФП'!J15</f>
        <v>1</v>
      </c>
      <c r="G160" s="68">
        <f t="shared" ref="G160:G169" si="11">F160-E160</f>
        <v>0</v>
      </c>
      <c r="H160" s="68">
        <f t="shared" ref="H160:H169" si="12">F160/E160*100</f>
        <v>100</v>
      </c>
    </row>
    <row r="161" spans="1:8" ht="11.45" customHeight="1" x14ac:dyDescent="0.2">
      <c r="A161" s="2" t="s">
        <v>176</v>
      </c>
      <c r="B161" s="71">
        <v>8004</v>
      </c>
      <c r="C161" s="68">
        <v>231</v>
      </c>
      <c r="D161" s="68" t="s">
        <v>156</v>
      </c>
      <c r="E161" s="68">
        <f>'Iнформація до ФП'!H16</f>
        <v>232</v>
      </c>
      <c r="F161" s="68">
        <f>'Iнформація до ФП'!J16</f>
        <v>228</v>
      </c>
      <c r="G161" s="68">
        <f t="shared" si="11"/>
        <v>-4</v>
      </c>
      <c r="H161" s="68">
        <f t="shared" si="12"/>
        <v>98.275862068965509</v>
      </c>
    </row>
    <row r="162" spans="1:8" ht="12.75" customHeight="1" x14ac:dyDescent="0.2">
      <c r="A162" s="2" t="s">
        <v>177</v>
      </c>
      <c r="B162" s="71">
        <v>8005</v>
      </c>
      <c r="C162" s="68">
        <v>1447</v>
      </c>
      <c r="D162" s="68" t="s">
        <v>156</v>
      </c>
      <c r="E162" s="68">
        <f>'Iнформація до ФП'!H17</f>
        <v>1433</v>
      </c>
      <c r="F162" s="68">
        <f>'Iнформація до ФП'!J17</f>
        <v>1450</v>
      </c>
      <c r="G162" s="68">
        <f t="shared" si="11"/>
        <v>17</v>
      </c>
      <c r="H162" s="68">
        <f t="shared" si="12"/>
        <v>101.18632240055827</v>
      </c>
    </row>
    <row r="163" spans="1:8" ht="13.5" customHeight="1" x14ac:dyDescent="0.2">
      <c r="A163" s="3" t="s">
        <v>90</v>
      </c>
      <c r="B163" s="12">
        <v>8010</v>
      </c>
      <c r="C163" s="69">
        <v>145699</v>
      </c>
      <c r="D163" s="69" t="s">
        <v>156</v>
      </c>
      <c r="E163" s="69">
        <f>'I. Формування фін. рез.'!E118</f>
        <v>148090</v>
      </c>
      <c r="F163" s="69">
        <f>'I. Формування фін. рез.'!F118</f>
        <v>168776</v>
      </c>
      <c r="G163" s="69">
        <f t="shared" si="11"/>
        <v>20686</v>
      </c>
      <c r="H163" s="69">
        <f t="shared" si="12"/>
        <v>113.96853264906477</v>
      </c>
    </row>
    <row r="164" spans="1:8" ht="23.25" customHeight="1" x14ac:dyDescent="0.2">
      <c r="A164" s="3" t="s">
        <v>178</v>
      </c>
      <c r="B164" s="12">
        <v>8020</v>
      </c>
      <c r="C164" s="69">
        <f>C163/C157/12*1000</f>
        <v>7231.4373635100255</v>
      </c>
      <c r="D164" s="69" t="s">
        <v>156</v>
      </c>
      <c r="E164" s="69">
        <f>'Iнформація до ФП'!H30</f>
        <v>7372.0629231381927</v>
      </c>
      <c r="F164" s="69">
        <f>'Iнформація до ФП'!J30</f>
        <v>8342.0324238829562</v>
      </c>
      <c r="G164" s="69">
        <f t="shared" si="11"/>
        <v>969.96950074476354</v>
      </c>
      <c r="H164" s="69">
        <f t="shared" si="12"/>
        <v>113.15736871561943</v>
      </c>
    </row>
    <row r="165" spans="1:8" ht="10.5" customHeight="1" x14ac:dyDescent="0.2">
      <c r="A165" s="39" t="s">
        <v>557</v>
      </c>
      <c r="B165" s="71">
        <v>8021</v>
      </c>
      <c r="C165" s="68">
        <v>0</v>
      </c>
      <c r="D165" s="68" t="s">
        <v>156</v>
      </c>
      <c r="E165" s="68">
        <f>'Iнформація до ФП'!H31</f>
        <v>0</v>
      </c>
      <c r="F165" s="68">
        <f>'Iнформація до ФП'!J31</f>
        <v>0</v>
      </c>
      <c r="G165" s="68">
        <f>F165-E165</f>
        <v>0</v>
      </c>
      <c r="H165" s="68" t="s">
        <v>426</v>
      </c>
    </row>
    <row r="166" spans="1:8" ht="11.25" customHeight="1" x14ac:dyDescent="0.2">
      <c r="A166" s="39" t="s">
        <v>558</v>
      </c>
      <c r="B166" s="71">
        <v>8022</v>
      </c>
      <c r="C166" s="68">
        <v>0</v>
      </c>
      <c r="D166" s="68" t="s">
        <v>156</v>
      </c>
      <c r="E166" s="68">
        <f>'Iнформація до ФП'!H32</f>
        <v>73333.333333333328</v>
      </c>
      <c r="F166" s="68">
        <f>'Iнформація до ФП'!J32</f>
        <v>56777.380952380954</v>
      </c>
      <c r="G166" s="68">
        <f>F166-E166</f>
        <v>-16555.952380952374</v>
      </c>
      <c r="H166" s="68">
        <f>F166/E166*100</f>
        <v>77.423701298701303</v>
      </c>
    </row>
    <row r="167" spans="1:8" ht="11.45" customHeight="1" x14ac:dyDescent="0.2">
      <c r="A167" s="2" t="s">
        <v>550</v>
      </c>
      <c r="B167" s="71">
        <v>8023</v>
      </c>
      <c r="C167" s="68">
        <f>656.6/12*1000</f>
        <v>54716.666666666672</v>
      </c>
      <c r="D167" s="68" t="s">
        <v>156</v>
      </c>
      <c r="E167" s="68">
        <f>'Iнформація до ФП'!H33</f>
        <v>169583.33333333334</v>
      </c>
      <c r="F167" s="68">
        <f>'Iнформація до ФП'!J33</f>
        <v>79091.666666666672</v>
      </c>
      <c r="G167" s="68">
        <f t="shared" si="11"/>
        <v>-90491.666666666672</v>
      </c>
      <c r="H167" s="68">
        <f t="shared" si="12"/>
        <v>46.63882063882064</v>
      </c>
    </row>
    <row r="168" spans="1:8" ht="11.45" customHeight="1" x14ac:dyDescent="0.2">
      <c r="A168" s="39" t="s">
        <v>555</v>
      </c>
      <c r="B168" s="71">
        <v>8024</v>
      </c>
      <c r="C168" s="68">
        <f>31146.5/231/12*1000</f>
        <v>11236.111111111113</v>
      </c>
      <c r="D168" s="68" t="s">
        <v>156</v>
      </c>
      <c r="E168" s="68">
        <f>'Iнформація до ФП'!H37</f>
        <v>12415.589080459769</v>
      </c>
      <c r="F168" s="68">
        <f>'Iнформація до ФП'!J37</f>
        <v>12519.846491228071</v>
      </c>
      <c r="G168" s="68">
        <f t="shared" si="11"/>
        <v>104.25741076830127</v>
      </c>
      <c r="H168" s="68">
        <f t="shared" si="12"/>
        <v>100.83972987582513</v>
      </c>
    </row>
    <row r="169" spans="1:8" ht="11.45" customHeight="1" x14ac:dyDescent="0.2">
      <c r="A169" s="39" t="s">
        <v>556</v>
      </c>
      <c r="B169" s="71">
        <v>8025</v>
      </c>
      <c r="C169" s="68">
        <f>113895.9/1447/12*1000</f>
        <v>6559.3123704215614</v>
      </c>
      <c r="D169" s="68" t="s">
        <v>156</v>
      </c>
      <c r="E169" s="68">
        <f>'Iнформація до ФП'!H38</f>
        <v>6074.0869969760415</v>
      </c>
      <c r="F169" s="68">
        <f>'Iнформація до ФП'!J38</f>
        <v>7402.4885057471265</v>
      </c>
      <c r="G169" s="68">
        <f t="shared" si="11"/>
        <v>1328.401508771085</v>
      </c>
      <c r="H169" s="68">
        <f t="shared" si="12"/>
        <v>121.86997831003119</v>
      </c>
    </row>
    <row r="171" spans="1:8" ht="11.45" customHeight="1" x14ac:dyDescent="0.2">
      <c r="A171" s="70" t="s">
        <v>179</v>
      </c>
      <c r="B171" s="70"/>
      <c r="C171" s="70"/>
      <c r="D171" s="70"/>
      <c r="E171" s="70"/>
      <c r="F171" s="70"/>
      <c r="G171" s="70"/>
      <c r="H171" s="70"/>
    </row>
    <row r="172" spans="1:8" ht="11.45" customHeight="1" x14ac:dyDescent="0.2">
      <c r="A172" s="15" t="s">
        <v>597</v>
      </c>
      <c r="B172" s="70"/>
      <c r="C172" s="135"/>
      <c r="D172" s="135"/>
      <c r="E172" s="70"/>
      <c r="F172" s="136" t="s">
        <v>608</v>
      </c>
      <c r="G172" s="137"/>
      <c r="H172" s="137"/>
    </row>
    <row r="173" spans="1:8" ht="11.45" customHeight="1" x14ac:dyDescent="0.2">
      <c r="A173" s="74" t="s">
        <v>180</v>
      </c>
      <c r="B173" s="70"/>
      <c r="C173" s="116" t="s">
        <v>181</v>
      </c>
      <c r="D173" s="116"/>
      <c r="E173" s="70"/>
      <c r="F173" s="116" t="s">
        <v>182</v>
      </c>
      <c r="G173" s="116"/>
      <c r="H173" s="116"/>
    </row>
    <row r="174" spans="1:8" ht="11.45" customHeight="1" x14ac:dyDescent="0.2">
      <c r="A174" s="70"/>
      <c r="B174" s="70"/>
      <c r="C174" s="70"/>
      <c r="D174" s="70"/>
      <c r="E174" s="70"/>
      <c r="F174" s="70"/>
      <c r="G174" s="70"/>
      <c r="H174" s="70"/>
    </row>
  </sheetData>
  <mergeCells count="48">
    <mergeCell ref="A133:H133"/>
    <mergeCell ref="A27:A28"/>
    <mergeCell ref="C173:D173"/>
    <mergeCell ref="F173:H173"/>
    <mergeCell ref="C172:D172"/>
    <mergeCell ref="F172:H172"/>
    <mergeCell ref="A147:H147"/>
    <mergeCell ref="A156:H156"/>
    <mergeCell ref="A114:H114"/>
    <mergeCell ref="A127:H127"/>
    <mergeCell ref="E27:H27"/>
    <mergeCell ref="A30:H30"/>
    <mergeCell ref="A79:H79"/>
    <mergeCell ref="A106:H106"/>
    <mergeCell ref="A92:H92"/>
    <mergeCell ref="A69:H69"/>
    <mergeCell ref="A78:H78"/>
    <mergeCell ref="B27:B28"/>
    <mergeCell ref="E1:H1"/>
    <mergeCell ref="E4:H4"/>
    <mergeCell ref="A7:F7"/>
    <mergeCell ref="E2:H2"/>
    <mergeCell ref="A3:B3"/>
    <mergeCell ref="A21:H21"/>
    <mergeCell ref="C27:D27"/>
    <mergeCell ref="A14:D14"/>
    <mergeCell ref="E14:F14"/>
    <mergeCell ref="B11:F11"/>
    <mergeCell ref="B16:C16"/>
    <mergeCell ref="A24:H24"/>
    <mergeCell ref="A23:H23"/>
    <mergeCell ref="A22:H22"/>
    <mergeCell ref="E3:H3"/>
    <mergeCell ref="E5:H5"/>
    <mergeCell ref="B9:F9"/>
    <mergeCell ref="B8:F8"/>
    <mergeCell ref="A25:H25"/>
    <mergeCell ref="B19:H19"/>
    <mergeCell ref="G14:H14"/>
    <mergeCell ref="B12:F12"/>
    <mergeCell ref="B13:F13"/>
    <mergeCell ref="G15:H15"/>
    <mergeCell ref="B18:H18"/>
    <mergeCell ref="B15:D15"/>
    <mergeCell ref="E15:F15"/>
    <mergeCell ref="B10:F10"/>
    <mergeCell ref="B17:H17"/>
    <mergeCell ref="D16:H16"/>
  </mergeCells>
  <phoneticPr fontId="0" type="noConversion"/>
  <pageMargins left="0.23622047244094491" right="0.23622047244094491" top="0.35433070866141736" bottom="0.35433070866141736" header="0" footer="0"/>
  <pageSetup paperSize="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126"/>
  <sheetViews>
    <sheetView topLeftCell="A97" zoomScaleNormal="100" workbookViewId="0">
      <selection activeCell="E115" sqref="E115:E121"/>
    </sheetView>
  </sheetViews>
  <sheetFormatPr defaultColWidth="8.7109375" defaultRowHeight="11.45" customHeight="1" x14ac:dyDescent="0.2"/>
  <cols>
    <col min="1" max="1" width="58.85546875" style="5" customWidth="1"/>
    <col min="2" max="2" width="8.85546875" style="10" customWidth="1"/>
    <col min="3" max="3" width="14.7109375" style="5" customWidth="1"/>
    <col min="4" max="4" width="16.5703125" style="5" customWidth="1"/>
    <col min="5" max="5" width="15.5703125" style="5" customWidth="1"/>
    <col min="6" max="6" width="13.85546875" style="5" customWidth="1"/>
    <col min="7" max="7" width="16.28515625" style="5" customWidth="1"/>
    <col min="8" max="8" width="13.28515625" style="5" customWidth="1"/>
    <col min="9" max="9" width="40.5703125" style="5" customWidth="1"/>
    <col min="10" max="16384" width="8.7109375" style="11"/>
  </cols>
  <sheetData>
    <row r="1" spans="1:9" s="5" customFormat="1" ht="13.5" customHeight="1" x14ac:dyDescent="0.2">
      <c r="A1" s="116" t="s">
        <v>183</v>
      </c>
      <c r="B1" s="116"/>
      <c r="C1" s="116"/>
      <c r="D1" s="116"/>
      <c r="E1" s="116"/>
      <c r="F1" s="116"/>
      <c r="G1" s="116"/>
      <c r="H1" s="116"/>
    </row>
    <row r="2" spans="1:9" s="5" customFormat="1" ht="9" customHeight="1" x14ac:dyDescent="0.2"/>
    <row r="3" spans="1:9" s="5" customFormat="1" ht="23.25" customHeight="1" x14ac:dyDescent="0.2">
      <c r="A3" s="145" t="s">
        <v>40</v>
      </c>
      <c r="B3" s="145" t="s">
        <v>41</v>
      </c>
      <c r="C3" s="145" t="s">
        <v>42</v>
      </c>
      <c r="D3" s="145"/>
      <c r="E3" s="145" t="str">
        <f>'Осн. фін. пок.'!E27:H27</f>
        <v>Звітний період (2019 р.)</v>
      </c>
      <c r="F3" s="145"/>
      <c r="G3" s="145"/>
      <c r="H3" s="145"/>
      <c r="I3" s="145" t="s">
        <v>184</v>
      </c>
    </row>
    <row r="4" spans="1:9" s="5" customFormat="1" ht="12.95" customHeight="1" x14ac:dyDescent="0.2">
      <c r="A4" s="145"/>
      <c r="B4" s="145"/>
      <c r="C4" s="79" t="s">
        <v>43</v>
      </c>
      <c r="D4" s="86" t="s">
        <v>44</v>
      </c>
      <c r="E4" s="79" t="s">
        <v>45</v>
      </c>
      <c r="F4" s="79" t="s">
        <v>46</v>
      </c>
      <c r="G4" s="79" t="s">
        <v>47</v>
      </c>
      <c r="H4" s="79" t="s">
        <v>48</v>
      </c>
      <c r="I4" s="145"/>
    </row>
    <row r="5" spans="1:9" s="5" customFormat="1" ht="12.95" customHeight="1" x14ac:dyDescent="0.2">
      <c r="A5" s="84">
        <v>1</v>
      </c>
      <c r="B5" s="84">
        <v>2</v>
      </c>
      <c r="C5" s="84">
        <v>3</v>
      </c>
      <c r="D5" s="84">
        <v>4</v>
      </c>
      <c r="E5" s="84">
        <v>5</v>
      </c>
      <c r="F5" s="84">
        <v>6</v>
      </c>
      <c r="G5" s="84">
        <v>7</v>
      </c>
      <c r="H5" s="84">
        <v>8</v>
      </c>
      <c r="I5" s="84">
        <v>9</v>
      </c>
    </row>
    <row r="6" spans="1:9" s="5" customFormat="1" ht="12.95" customHeight="1" x14ac:dyDescent="0.2">
      <c r="A6" s="146" t="s">
        <v>185</v>
      </c>
      <c r="B6" s="146"/>
      <c r="C6" s="146"/>
      <c r="D6" s="146"/>
      <c r="E6" s="146"/>
      <c r="F6" s="146"/>
      <c r="G6" s="146"/>
      <c r="H6" s="146"/>
      <c r="I6" s="146"/>
    </row>
    <row r="7" spans="1:9" s="5" customFormat="1" ht="23.25" customHeight="1" x14ac:dyDescent="0.2">
      <c r="A7" s="78" t="s">
        <v>186</v>
      </c>
      <c r="B7" s="7">
        <v>1000</v>
      </c>
      <c r="C7" s="91">
        <v>890571</v>
      </c>
      <c r="D7" s="91">
        <v>873530</v>
      </c>
      <c r="E7" s="91">
        <v>979270</v>
      </c>
      <c r="F7" s="91">
        <v>873530</v>
      </c>
      <c r="G7" s="91">
        <f>F7-E7</f>
        <v>-105740</v>
      </c>
      <c r="H7" s="91">
        <f>F7/E7*100</f>
        <v>89.202160793243948</v>
      </c>
      <c r="I7" s="47"/>
    </row>
    <row r="8" spans="1:9" s="5" customFormat="1" ht="12.95" customHeight="1" x14ac:dyDescent="0.2">
      <c r="A8" s="78" t="s">
        <v>52</v>
      </c>
      <c r="B8" s="7">
        <v>1010</v>
      </c>
      <c r="C8" s="91">
        <f>SUM(C9:C16)</f>
        <v>-820149</v>
      </c>
      <c r="D8" s="91">
        <f>SUM(D9:D16)</f>
        <v>-813811</v>
      </c>
      <c r="E8" s="91">
        <f>SUM(E9:E16)</f>
        <v>-899665</v>
      </c>
      <c r="F8" s="91">
        <f>SUM(F9:F16)</f>
        <v>-813811</v>
      </c>
      <c r="G8" s="91">
        <f>F8-E8</f>
        <v>85854</v>
      </c>
      <c r="H8" s="91">
        <f>F8/E8*100</f>
        <v>90.457114592653937</v>
      </c>
      <c r="I8" s="47"/>
    </row>
    <row r="9" spans="1:9" s="5" customFormat="1" ht="12.95" customHeight="1" x14ac:dyDescent="0.2">
      <c r="A9" s="76" t="s">
        <v>187</v>
      </c>
      <c r="B9" s="8">
        <v>1011</v>
      </c>
      <c r="C9" s="82">
        <v>-36963.199999999997</v>
      </c>
      <c r="D9" s="82">
        <v>-25517.3</v>
      </c>
      <c r="E9" s="82">
        <v>-25430</v>
      </c>
      <c r="F9" s="82">
        <v>-25517.3</v>
      </c>
      <c r="G9" s="82">
        <f>F9-E9</f>
        <v>-87.299999999999272</v>
      </c>
      <c r="H9" s="82">
        <f>F9/E9*100</f>
        <v>100.3432953204876</v>
      </c>
      <c r="I9" s="48"/>
    </row>
    <row r="10" spans="1:9" s="5" customFormat="1" ht="12.95" customHeight="1" x14ac:dyDescent="0.2">
      <c r="A10" s="76" t="s">
        <v>188</v>
      </c>
      <c r="B10" s="8">
        <v>1012</v>
      </c>
      <c r="C10" s="82">
        <v>-54778.7</v>
      </c>
      <c r="D10" s="82">
        <v>-53151</v>
      </c>
      <c r="E10" s="82">
        <v>-46215</v>
      </c>
      <c r="F10" s="82">
        <v>-53151</v>
      </c>
      <c r="G10" s="82">
        <f t="shared" ref="G10:G73" si="0">F10-E10</f>
        <v>-6936</v>
      </c>
      <c r="H10" s="82">
        <f t="shared" ref="H10:H73" si="1">F10/E10*100</f>
        <v>115.00811424862059</v>
      </c>
      <c r="I10" s="48"/>
    </row>
    <row r="11" spans="1:9" s="5" customFormat="1" ht="12.95" customHeight="1" x14ac:dyDescent="0.2">
      <c r="A11" s="76" t="s">
        <v>189</v>
      </c>
      <c r="B11" s="8">
        <v>1013</v>
      </c>
      <c r="C11" s="82">
        <v>-9858.7999999999993</v>
      </c>
      <c r="D11" s="82">
        <v>-10497.3</v>
      </c>
      <c r="E11" s="82">
        <v>-11300</v>
      </c>
      <c r="F11" s="82">
        <v>-10497.3</v>
      </c>
      <c r="G11" s="82">
        <f t="shared" si="0"/>
        <v>802.70000000000073</v>
      </c>
      <c r="H11" s="82">
        <f t="shared" si="1"/>
        <v>92.896460176991141</v>
      </c>
      <c r="I11" s="48"/>
    </row>
    <row r="12" spans="1:9" s="5" customFormat="1" ht="12.95" customHeight="1" x14ac:dyDescent="0.2">
      <c r="A12" s="76" t="s">
        <v>90</v>
      </c>
      <c r="B12" s="8">
        <v>1014</v>
      </c>
      <c r="C12" s="82">
        <v>-98439.5</v>
      </c>
      <c r="D12" s="82">
        <v>-116060.4</v>
      </c>
      <c r="E12" s="82">
        <v>-102725</v>
      </c>
      <c r="F12" s="82">
        <v>-116060.4</v>
      </c>
      <c r="G12" s="82">
        <f t="shared" si="0"/>
        <v>-13335.399999999994</v>
      </c>
      <c r="H12" s="82">
        <f t="shared" si="1"/>
        <v>112.98165003650521</v>
      </c>
      <c r="I12" s="48"/>
    </row>
    <row r="13" spans="1:9" s="5" customFormat="1" ht="12.95" customHeight="1" x14ac:dyDescent="0.2">
      <c r="A13" s="76" t="s">
        <v>91</v>
      </c>
      <c r="B13" s="8">
        <v>1015</v>
      </c>
      <c r="C13" s="82">
        <v>-22383</v>
      </c>
      <c r="D13" s="82">
        <v>-26186.2</v>
      </c>
      <c r="E13" s="82">
        <v>-23065</v>
      </c>
      <c r="F13" s="82">
        <v>-26186.2</v>
      </c>
      <c r="G13" s="82">
        <f t="shared" si="0"/>
        <v>-3121.2000000000007</v>
      </c>
      <c r="H13" s="82">
        <f t="shared" si="1"/>
        <v>113.53219163234338</v>
      </c>
      <c r="I13" s="48"/>
    </row>
    <row r="14" spans="1:9" s="5" customFormat="1" ht="26.1" customHeight="1" x14ac:dyDescent="0.2">
      <c r="A14" s="76" t="s">
        <v>190</v>
      </c>
      <c r="B14" s="8">
        <v>1016</v>
      </c>
      <c r="C14" s="82">
        <v>-108503.2</v>
      </c>
      <c r="D14" s="82">
        <v>-121922.2</v>
      </c>
      <c r="E14" s="82">
        <v>-169130</v>
      </c>
      <c r="F14" s="82">
        <v>-121922.2</v>
      </c>
      <c r="G14" s="82">
        <f t="shared" si="0"/>
        <v>47207.8</v>
      </c>
      <c r="H14" s="82">
        <f t="shared" si="1"/>
        <v>72.087861408384086</v>
      </c>
      <c r="I14" s="48"/>
    </row>
    <row r="15" spans="1:9" s="5" customFormat="1" ht="12.95" customHeight="1" x14ac:dyDescent="0.2">
      <c r="A15" s="76" t="s">
        <v>191</v>
      </c>
      <c r="B15" s="8">
        <v>1017</v>
      </c>
      <c r="C15" s="82">
        <v>-16731.5</v>
      </c>
      <c r="D15" s="82">
        <v>-12587.6</v>
      </c>
      <c r="E15" s="82">
        <v>-13875</v>
      </c>
      <c r="F15" s="82">
        <v>-12587.6</v>
      </c>
      <c r="G15" s="82">
        <f t="shared" si="0"/>
        <v>1287.3999999999996</v>
      </c>
      <c r="H15" s="82">
        <f t="shared" si="1"/>
        <v>90.721441441441442</v>
      </c>
      <c r="I15" s="48"/>
    </row>
    <row r="16" spans="1:9" s="5" customFormat="1" ht="12.95" customHeight="1" x14ac:dyDescent="0.2">
      <c r="A16" s="76" t="s">
        <v>192</v>
      </c>
      <c r="B16" s="8">
        <v>1018</v>
      </c>
      <c r="C16" s="82">
        <f>SUM(C17:C19)</f>
        <v>-472491.1</v>
      </c>
      <c r="D16" s="82">
        <f>SUM(D17:D19)</f>
        <v>-447889.00000000006</v>
      </c>
      <c r="E16" s="82">
        <f>SUM(E17:E19)</f>
        <v>-507925</v>
      </c>
      <c r="F16" s="82">
        <f>SUM(F17:F19)</f>
        <v>-447889.00000000006</v>
      </c>
      <c r="G16" s="82">
        <f t="shared" si="0"/>
        <v>60035.999999999942</v>
      </c>
      <c r="H16" s="82">
        <f t="shared" si="1"/>
        <v>88.180144706403524</v>
      </c>
      <c r="I16" s="48"/>
    </row>
    <row r="17" spans="1:9" s="5" customFormat="1" ht="12.95" customHeight="1" x14ac:dyDescent="0.2">
      <c r="A17" s="77" t="s">
        <v>193</v>
      </c>
      <c r="B17" s="79" t="s">
        <v>457</v>
      </c>
      <c r="C17" s="82">
        <v>-45437.7</v>
      </c>
      <c r="D17" s="82">
        <v>-43686.2</v>
      </c>
      <c r="E17" s="82">
        <v>-45120</v>
      </c>
      <c r="F17" s="82">
        <v>-43686.2</v>
      </c>
      <c r="G17" s="82">
        <f t="shared" si="0"/>
        <v>1433.8000000000029</v>
      </c>
      <c r="H17" s="82">
        <f t="shared" si="1"/>
        <v>96.822251773049643</v>
      </c>
      <c r="I17" s="48"/>
    </row>
    <row r="18" spans="1:9" s="5" customFormat="1" ht="12.95" customHeight="1" x14ac:dyDescent="0.2">
      <c r="A18" s="77" t="s">
        <v>502</v>
      </c>
      <c r="B18" s="79" t="s">
        <v>458</v>
      </c>
      <c r="C18" s="82">
        <v>-350862.8</v>
      </c>
      <c r="D18" s="82">
        <v>-343072.9</v>
      </c>
      <c r="E18" s="82">
        <v>-399645</v>
      </c>
      <c r="F18" s="82">
        <v>-343072.9</v>
      </c>
      <c r="G18" s="82">
        <f t="shared" si="0"/>
        <v>56572.099999999977</v>
      </c>
      <c r="H18" s="82">
        <f t="shared" si="1"/>
        <v>85.84441191557508</v>
      </c>
      <c r="I18" s="48"/>
    </row>
    <row r="19" spans="1:9" s="5" customFormat="1" ht="103.5" customHeight="1" x14ac:dyDescent="0.2">
      <c r="A19" s="77" t="s">
        <v>194</v>
      </c>
      <c r="B19" s="79" t="s">
        <v>459</v>
      </c>
      <c r="C19" s="82">
        <v>-76190.600000000006</v>
      </c>
      <c r="D19" s="82">
        <v>-61129.9</v>
      </c>
      <c r="E19" s="82">
        <v>-63160</v>
      </c>
      <c r="F19" s="82">
        <v>-61129.9</v>
      </c>
      <c r="G19" s="82">
        <f t="shared" si="0"/>
        <v>2030.0999999999985</v>
      </c>
      <c r="H19" s="82">
        <f t="shared" si="1"/>
        <v>96.785782140595316</v>
      </c>
      <c r="I19" s="49" t="s">
        <v>606</v>
      </c>
    </row>
    <row r="20" spans="1:9" s="5" customFormat="1" ht="12.95" customHeight="1" x14ac:dyDescent="0.2">
      <c r="A20" s="78" t="s">
        <v>195</v>
      </c>
      <c r="B20" s="7">
        <v>1020</v>
      </c>
      <c r="C20" s="91">
        <f>SUM(C7,C8)</f>
        <v>70422</v>
      </c>
      <c r="D20" s="91">
        <f>SUM(D7,D8)</f>
        <v>59719</v>
      </c>
      <c r="E20" s="91">
        <f>SUM(E7,E8)</f>
        <v>79605</v>
      </c>
      <c r="F20" s="91">
        <f>SUM(F7,F8)</f>
        <v>59719</v>
      </c>
      <c r="G20" s="91">
        <f t="shared" si="0"/>
        <v>-19886</v>
      </c>
      <c r="H20" s="91">
        <f t="shared" si="1"/>
        <v>75.019157088122597</v>
      </c>
      <c r="I20" s="49"/>
    </row>
    <row r="21" spans="1:9" s="5" customFormat="1" ht="12.95" customHeight="1" x14ac:dyDescent="0.2">
      <c r="A21" s="78" t="s">
        <v>54</v>
      </c>
      <c r="B21" s="7">
        <v>1030</v>
      </c>
      <c r="C21" s="91">
        <f>SUM(C22:C41,C43)</f>
        <v>-77521</v>
      </c>
      <c r="D21" s="91">
        <f>SUM(D22:D41,D43)</f>
        <v>-83252</v>
      </c>
      <c r="E21" s="91">
        <f>SUM(E22:E41,E43)</f>
        <v>-86445</v>
      </c>
      <c r="F21" s="91">
        <f>SUM(F22:F41,F43)</f>
        <v>-83252</v>
      </c>
      <c r="G21" s="91">
        <f t="shared" si="0"/>
        <v>3193</v>
      </c>
      <c r="H21" s="91">
        <f t="shared" si="1"/>
        <v>96.306321938805013</v>
      </c>
      <c r="I21" s="49"/>
    </row>
    <row r="22" spans="1:9" s="5" customFormat="1" ht="12.95" customHeight="1" x14ac:dyDescent="0.2">
      <c r="A22" s="76" t="s">
        <v>55</v>
      </c>
      <c r="B22" s="8">
        <v>1031</v>
      </c>
      <c r="C22" s="82">
        <v>-1746.8</v>
      </c>
      <c r="D22" s="82">
        <v>-1065.2</v>
      </c>
      <c r="E22" s="82">
        <v>-1115</v>
      </c>
      <c r="F22" s="82">
        <v>-1065.2</v>
      </c>
      <c r="G22" s="82">
        <f t="shared" si="0"/>
        <v>49.799999999999955</v>
      </c>
      <c r="H22" s="82">
        <f t="shared" si="1"/>
        <v>95.533632286995513</v>
      </c>
      <c r="I22" s="49"/>
    </row>
    <row r="23" spans="1:9" s="5" customFormat="1" ht="12.95" customHeight="1" x14ac:dyDescent="0.2">
      <c r="A23" s="76" t="s">
        <v>56</v>
      </c>
      <c r="B23" s="8">
        <v>1032</v>
      </c>
      <c r="C23" s="82" t="s">
        <v>51</v>
      </c>
      <c r="D23" s="82" t="s">
        <v>51</v>
      </c>
      <c r="E23" s="82" t="s">
        <v>51</v>
      </c>
      <c r="F23" s="82" t="s">
        <v>51</v>
      </c>
      <c r="G23" s="82">
        <f t="shared" si="0"/>
        <v>0</v>
      </c>
      <c r="H23" s="82" t="s">
        <v>426</v>
      </c>
      <c r="I23" s="49"/>
    </row>
    <row r="24" spans="1:9" s="5" customFormat="1" ht="12.95" customHeight="1" x14ac:dyDescent="0.2">
      <c r="A24" s="76" t="s">
        <v>57</v>
      </c>
      <c r="B24" s="8">
        <v>1033</v>
      </c>
      <c r="C24" s="82" t="s">
        <v>51</v>
      </c>
      <c r="D24" s="82" t="s">
        <v>51</v>
      </c>
      <c r="E24" s="82" t="s">
        <v>51</v>
      </c>
      <c r="F24" s="82" t="s">
        <v>51</v>
      </c>
      <c r="G24" s="82">
        <f t="shared" si="0"/>
        <v>0</v>
      </c>
      <c r="H24" s="82" t="s">
        <v>426</v>
      </c>
      <c r="I24" s="49"/>
    </row>
    <row r="25" spans="1:9" s="5" customFormat="1" ht="12.95" customHeight="1" x14ac:dyDescent="0.2">
      <c r="A25" s="76" t="s">
        <v>58</v>
      </c>
      <c r="B25" s="8">
        <v>1034</v>
      </c>
      <c r="C25" s="82" t="s">
        <v>51</v>
      </c>
      <c r="D25" s="82" t="s">
        <v>51</v>
      </c>
      <c r="E25" s="82">
        <v>-20</v>
      </c>
      <c r="F25" s="82" t="s">
        <v>51</v>
      </c>
      <c r="G25" s="82">
        <f t="shared" si="0"/>
        <v>20</v>
      </c>
      <c r="H25" s="82">
        <f t="shared" si="1"/>
        <v>0</v>
      </c>
      <c r="I25" s="49"/>
    </row>
    <row r="26" spans="1:9" s="5" customFormat="1" ht="12.95" customHeight="1" x14ac:dyDescent="0.2">
      <c r="A26" s="76" t="s">
        <v>59</v>
      </c>
      <c r="B26" s="8">
        <v>1035</v>
      </c>
      <c r="C26" s="82">
        <v>0</v>
      </c>
      <c r="D26" s="82">
        <v>0</v>
      </c>
      <c r="E26" s="82">
        <v>-300</v>
      </c>
      <c r="F26" s="82">
        <v>0</v>
      </c>
      <c r="G26" s="82">
        <f t="shared" si="0"/>
        <v>300</v>
      </c>
      <c r="H26" s="82" t="s">
        <v>426</v>
      </c>
      <c r="I26" s="49"/>
    </row>
    <row r="27" spans="1:9" s="5" customFormat="1" ht="12.95" customHeight="1" x14ac:dyDescent="0.2">
      <c r="A27" s="76" t="s">
        <v>196</v>
      </c>
      <c r="B27" s="8">
        <v>1036</v>
      </c>
      <c r="C27" s="82">
        <v>-3603.9</v>
      </c>
      <c r="D27" s="82">
        <v>-1616.5</v>
      </c>
      <c r="E27" s="82">
        <v>-2200</v>
      </c>
      <c r="F27" s="82">
        <v>-1616.5</v>
      </c>
      <c r="G27" s="82">
        <f t="shared" si="0"/>
        <v>583.5</v>
      </c>
      <c r="H27" s="82">
        <f t="shared" si="1"/>
        <v>73.47727272727272</v>
      </c>
      <c r="I27" s="49"/>
    </row>
    <row r="28" spans="1:9" s="5" customFormat="1" ht="12.95" customHeight="1" x14ac:dyDescent="0.2">
      <c r="A28" s="76" t="s">
        <v>197</v>
      </c>
      <c r="B28" s="8">
        <v>1037</v>
      </c>
      <c r="C28" s="82">
        <v>-286.2</v>
      </c>
      <c r="D28" s="82">
        <v>-324.60000000000002</v>
      </c>
      <c r="E28" s="82">
        <v>-340</v>
      </c>
      <c r="F28" s="82">
        <v>-324.60000000000002</v>
      </c>
      <c r="G28" s="82">
        <f t="shared" si="0"/>
        <v>15.399999999999977</v>
      </c>
      <c r="H28" s="82">
        <f t="shared" si="1"/>
        <v>95.47058823529413</v>
      </c>
      <c r="I28" s="49"/>
    </row>
    <row r="29" spans="1:9" s="5" customFormat="1" ht="12.95" customHeight="1" x14ac:dyDescent="0.2">
      <c r="A29" s="76" t="s">
        <v>198</v>
      </c>
      <c r="B29" s="8">
        <v>1038</v>
      </c>
      <c r="C29" s="82">
        <v>-31803.1</v>
      </c>
      <c r="D29" s="82">
        <v>-39972.699999999997</v>
      </c>
      <c r="E29" s="82">
        <v>-41180</v>
      </c>
      <c r="F29" s="82">
        <v>-39972.699999999997</v>
      </c>
      <c r="G29" s="82">
        <f t="shared" si="0"/>
        <v>1207.3000000000029</v>
      </c>
      <c r="H29" s="82">
        <f t="shared" si="1"/>
        <v>97.068237008256432</v>
      </c>
      <c r="I29" s="49"/>
    </row>
    <row r="30" spans="1:9" s="5" customFormat="1" ht="12.95" customHeight="1" x14ac:dyDescent="0.2">
      <c r="A30" s="76" t="s">
        <v>199</v>
      </c>
      <c r="B30" s="8">
        <v>1039</v>
      </c>
      <c r="C30" s="82">
        <v>-6941.7</v>
      </c>
      <c r="D30" s="82">
        <v>-8071.9</v>
      </c>
      <c r="E30" s="82">
        <v>-9075</v>
      </c>
      <c r="F30" s="82">
        <v>-8071.9</v>
      </c>
      <c r="G30" s="82">
        <f t="shared" si="0"/>
        <v>1003.1000000000004</v>
      </c>
      <c r="H30" s="82">
        <f t="shared" si="1"/>
        <v>88.94655647382919</v>
      </c>
      <c r="I30" s="49"/>
    </row>
    <row r="31" spans="1:9" s="5" customFormat="1" ht="22.5" customHeight="1" x14ac:dyDescent="0.2">
      <c r="A31" s="76" t="s">
        <v>200</v>
      </c>
      <c r="B31" s="8">
        <v>1040</v>
      </c>
      <c r="C31" s="82">
        <v>-971.7</v>
      </c>
      <c r="D31" s="82">
        <v>-1249.4000000000001</v>
      </c>
      <c r="E31" s="82">
        <v>-610</v>
      </c>
      <c r="F31" s="82">
        <v>-1249.4000000000001</v>
      </c>
      <c r="G31" s="82">
        <f t="shared" si="0"/>
        <v>-639.40000000000009</v>
      </c>
      <c r="H31" s="82">
        <f t="shared" si="1"/>
        <v>204.81967213114754</v>
      </c>
      <c r="I31" s="49"/>
    </row>
    <row r="32" spans="1:9" s="5" customFormat="1" ht="23.25" customHeight="1" x14ac:dyDescent="0.2">
      <c r="A32" s="76" t="s">
        <v>201</v>
      </c>
      <c r="B32" s="8">
        <v>1041</v>
      </c>
      <c r="C32" s="82">
        <v>-79.7</v>
      </c>
      <c r="D32" s="82">
        <v>-179.8</v>
      </c>
      <c r="E32" s="82" t="s">
        <v>51</v>
      </c>
      <c r="F32" s="82">
        <v>-179.8</v>
      </c>
      <c r="G32" s="82">
        <f t="shared" si="0"/>
        <v>-179.8</v>
      </c>
      <c r="H32" s="82" t="s">
        <v>426</v>
      </c>
      <c r="I32" s="49" t="s">
        <v>607</v>
      </c>
    </row>
    <row r="33" spans="1:9" s="5" customFormat="1" ht="12.95" customHeight="1" x14ac:dyDescent="0.2">
      <c r="A33" s="76" t="s">
        <v>202</v>
      </c>
      <c r="B33" s="8">
        <v>1042</v>
      </c>
      <c r="C33" s="82" t="s">
        <v>51</v>
      </c>
      <c r="D33" s="82" t="s">
        <v>51</v>
      </c>
      <c r="E33" s="82" t="s">
        <v>51</v>
      </c>
      <c r="F33" s="82" t="s">
        <v>51</v>
      </c>
      <c r="G33" s="82">
        <f t="shared" si="0"/>
        <v>0</v>
      </c>
      <c r="H33" s="82" t="s">
        <v>426</v>
      </c>
      <c r="I33" s="48"/>
    </row>
    <row r="34" spans="1:9" s="5" customFormat="1" ht="12.95" customHeight="1" x14ac:dyDescent="0.2">
      <c r="A34" s="76" t="s">
        <v>203</v>
      </c>
      <c r="B34" s="8">
        <v>1043</v>
      </c>
      <c r="C34" s="82" t="s">
        <v>51</v>
      </c>
      <c r="D34" s="82" t="s">
        <v>51</v>
      </c>
      <c r="E34" s="82" t="s">
        <v>51</v>
      </c>
      <c r="F34" s="82" t="s">
        <v>51</v>
      </c>
      <c r="G34" s="82">
        <f t="shared" si="0"/>
        <v>0</v>
      </c>
      <c r="H34" s="82" t="s">
        <v>426</v>
      </c>
      <c r="I34" s="48"/>
    </row>
    <row r="35" spans="1:9" s="5" customFormat="1" ht="12.95" customHeight="1" x14ac:dyDescent="0.2">
      <c r="A35" s="76" t="s">
        <v>204</v>
      </c>
      <c r="B35" s="8">
        <v>1044</v>
      </c>
      <c r="C35" s="82" t="s">
        <v>51</v>
      </c>
      <c r="D35" s="82" t="s">
        <v>51</v>
      </c>
      <c r="E35" s="82" t="s">
        <v>51</v>
      </c>
      <c r="F35" s="82" t="s">
        <v>51</v>
      </c>
      <c r="G35" s="82">
        <f t="shared" si="0"/>
        <v>0</v>
      </c>
      <c r="H35" s="82" t="s">
        <v>426</v>
      </c>
      <c r="I35" s="48"/>
    </row>
    <row r="36" spans="1:9" s="5" customFormat="1" ht="12.95" customHeight="1" x14ac:dyDescent="0.2">
      <c r="A36" s="76" t="s">
        <v>205</v>
      </c>
      <c r="B36" s="8">
        <v>1045</v>
      </c>
      <c r="C36" s="82">
        <v>-260.39999999999998</v>
      </c>
      <c r="D36" s="82">
        <f>-861.9+613.1</f>
        <v>-248.79999999999995</v>
      </c>
      <c r="E36" s="82">
        <v>-20</v>
      </c>
      <c r="F36" s="82">
        <f>-861.9+613.1</f>
        <v>-248.79999999999995</v>
      </c>
      <c r="G36" s="82">
        <f t="shared" si="0"/>
        <v>-228.79999999999995</v>
      </c>
      <c r="H36" s="82">
        <f t="shared" si="1"/>
        <v>1243.9999999999998</v>
      </c>
      <c r="I36" s="48"/>
    </row>
    <row r="37" spans="1:9" s="5" customFormat="1" ht="12.95" customHeight="1" x14ac:dyDescent="0.2">
      <c r="A37" s="76" t="s">
        <v>206</v>
      </c>
      <c r="B37" s="8">
        <v>1046</v>
      </c>
      <c r="C37" s="82">
        <v>-6092.4</v>
      </c>
      <c r="D37" s="82">
        <v>-5115.6000000000004</v>
      </c>
      <c r="E37" s="82">
        <v>-3000</v>
      </c>
      <c r="F37" s="82">
        <v>-5115.6000000000004</v>
      </c>
      <c r="G37" s="82">
        <f t="shared" si="0"/>
        <v>-2115.6000000000004</v>
      </c>
      <c r="H37" s="82">
        <f t="shared" si="1"/>
        <v>170.52</v>
      </c>
      <c r="I37" s="48"/>
    </row>
    <row r="38" spans="1:9" s="5" customFormat="1" ht="12.95" customHeight="1" x14ac:dyDescent="0.2">
      <c r="A38" s="76" t="s">
        <v>207</v>
      </c>
      <c r="B38" s="8">
        <v>1047</v>
      </c>
      <c r="C38" s="82">
        <v>-35</v>
      </c>
      <c r="D38" s="82">
        <v>-68.7</v>
      </c>
      <c r="E38" s="82" t="s">
        <v>51</v>
      </c>
      <c r="F38" s="82">
        <v>-68.7</v>
      </c>
      <c r="G38" s="82">
        <f t="shared" si="0"/>
        <v>-68.7</v>
      </c>
      <c r="H38" s="82" t="s">
        <v>426</v>
      </c>
      <c r="I38" s="48"/>
    </row>
    <row r="39" spans="1:9" s="5" customFormat="1" ht="12.95" customHeight="1" x14ac:dyDescent="0.2">
      <c r="A39" s="76" t="s">
        <v>208</v>
      </c>
      <c r="B39" s="8">
        <v>1048</v>
      </c>
      <c r="C39" s="82">
        <v>0</v>
      </c>
      <c r="D39" s="82">
        <v>0</v>
      </c>
      <c r="E39" s="82" t="s">
        <v>51</v>
      </c>
      <c r="F39" s="82">
        <v>0</v>
      </c>
      <c r="G39" s="82">
        <f t="shared" si="0"/>
        <v>0</v>
      </c>
      <c r="H39" s="82" t="s">
        <v>426</v>
      </c>
      <c r="I39" s="48"/>
    </row>
    <row r="40" spans="1:9" s="5" customFormat="1" ht="12.95" customHeight="1" x14ac:dyDescent="0.2">
      <c r="A40" s="76" t="s">
        <v>209</v>
      </c>
      <c r="B40" s="8">
        <v>1049</v>
      </c>
      <c r="C40" s="82">
        <v>-67.3</v>
      </c>
      <c r="D40" s="82">
        <v>-65.7</v>
      </c>
      <c r="E40" s="82">
        <v>-150</v>
      </c>
      <c r="F40" s="82">
        <v>-65.7</v>
      </c>
      <c r="G40" s="82">
        <f t="shared" si="0"/>
        <v>84.3</v>
      </c>
      <c r="H40" s="82">
        <f t="shared" si="1"/>
        <v>43.8</v>
      </c>
      <c r="I40" s="48"/>
    </row>
    <row r="41" spans="1:9" s="5" customFormat="1" ht="45" x14ac:dyDescent="0.2">
      <c r="A41" s="76" t="s">
        <v>210</v>
      </c>
      <c r="B41" s="8">
        <v>1050</v>
      </c>
      <c r="C41" s="82">
        <v>-3925.8</v>
      </c>
      <c r="D41" s="82">
        <f>-3056.7-136.5</f>
        <v>-3193.2</v>
      </c>
      <c r="E41" s="82">
        <v>-3540</v>
      </c>
      <c r="F41" s="82">
        <f>-3056.7-136.5</f>
        <v>-3193.2</v>
      </c>
      <c r="G41" s="82">
        <f t="shared" si="0"/>
        <v>346.80000000000018</v>
      </c>
      <c r="H41" s="82">
        <f t="shared" si="1"/>
        <v>90.20338983050847</v>
      </c>
      <c r="I41" s="49" t="s">
        <v>581</v>
      </c>
    </row>
    <row r="42" spans="1:9" s="5" customFormat="1" ht="12.95" customHeight="1" x14ac:dyDescent="0.2">
      <c r="A42" s="76" t="s">
        <v>211</v>
      </c>
      <c r="B42" s="9" t="s">
        <v>212</v>
      </c>
      <c r="C42" s="82">
        <v>-680.4</v>
      </c>
      <c r="D42" s="82">
        <v>-417.9</v>
      </c>
      <c r="E42" s="82">
        <v>-600</v>
      </c>
      <c r="F42" s="82">
        <v>-417.9</v>
      </c>
      <c r="G42" s="82">
        <f t="shared" si="0"/>
        <v>182.10000000000002</v>
      </c>
      <c r="H42" s="82">
        <f t="shared" si="1"/>
        <v>69.650000000000006</v>
      </c>
      <c r="I42" s="48"/>
    </row>
    <row r="43" spans="1:9" s="5" customFormat="1" ht="12.95" customHeight="1" x14ac:dyDescent="0.2">
      <c r="A43" s="76" t="s">
        <v>213</v>
      </c>
      <c r="B43" s="8">
        <v>1051</v>
      </c>
      <c r="C43" s="82">
        <f>SUM(C44:C48)</f>
        <v>-21707</v>
      </c>
      <c r="D43" s="82">
        <f>SUM(D44:D48)</f>
        <v>-22079.899999999998</v>
      </c>
      <c r="E43" s="82">
        <f>SUM(E44:E48)</f>
        <v>-24895</v>
      </c>
      <c r="F43" s="82">
        <f>SUM(F44:F48)</f>
        <v>-22079.899999999998</v>
      </c>
      <c r="G43" s="82">
        <f t="shared" si="0"/>
        <v>2815.1000000000022</v>
      </c>
      <c r="H43" s="82">
        <f t="shared" si="1"/>
        <v>88.692106848764809</v>
      </c>
      <c r="I43" s="48"/>
    </row>
    <row r="44" spans="1:9" s="5" customFormat="1" ht="12.95" customHeight="1" x14ac:dyDescent="0.2">
      <c r="A44" s="77" t="s">
        <v>214</v>
      </c>
      <c r="B44" s="79" t="s">
        <v>460</v>
      </c>
      <c r="C44" s="82">
        <v>-1368.8</v>
      </c>
      <c r="D44" s="82">
        <v>-1567.9</v>
      </c>
      <c r="E44" s="82">
        <v>-1420</v>
      </c>
      <c r="F44" s="82">
        <v>-1567.9</v>
      </c>
      <c r="G44" s="82">
        <f t="shared" si="0"/>
        <v>-147.90000000000009</v>
      </c>
      <c r="H44" s="82">
        <f t="shared" si="1"/>
        <v>110.41549295774648</v>
      </c>
      <c r="I44" s="48"/>
    </row>
    <row r="45" spans="1:9" s="5" customFormat="1" ht="12.95" customHeight="1" x14ac:dyDescent="0.2">
      <c r="A45" s="77" t="s">
        <v>215</v>
      </c>
      <c r="B45" s="79" t="s">
        <v>461</v>
      </c>
      <c r="C45" s="82">
        <v>-11525.1</v>
      </c>
      <c r="D45" s="82">
        <v>-11755.1</v>
      </c>
      <c r="E45" s="82">
        <v>-9000</v>
      </c>
      <c r="F45" s="82">
        <v>-11755.1</v>
      </c>
      <c r="G45" s="82">
        <f t="shared" si="0"/>
        <v>-2755.1000000000004</v>
      </c>
      <c r="H45" s="82">
        <f t="shared" si="1"/>
        <v>130.61222222222221</v>
      </c>
      <c r="I45" s="48"/>
    </row>
    <row r="46" spans="1:9" s="5" customFormat="1" ht="12.95" customHeight="1" x14ac:dyDescent="0.2">
      <c r="A46" s="77" t="s">
        <v>216</v>
      </c>
      <c r="B46" s="79" t="s">
        <v>462</v>
      </c>
      <c r="C46" s="82">
        <v>-3528.1</v>
      </c>
      <c r="D46" s="82">
        <v>-4619.1000000000004</v>
      </c>
      <c r="E46" s="82">
        <v>-7275</v>
      </c>
      <c r="F46" s="82">
        <v>-4619.1000000000004</v>
      </c>
      <c r="G46" s="82">
        <f t="shared" si="0"/>
        <v>2655.8999999999996</v>
      </c>
      <c r="H46" s="82">
        <f t="shared" si="1"/>
        <v>63.492783505154648</v>
      </c>
      <c r="I46" s="48"/>
    </row>
    <row r="47" spans="1:9" s="5" customFormat="1" ht="12.95" customHeight="1" x14ac:dyDescent="0.2">
      <c r="A47" s="77" t="s">
        <v>217</v>
      </c>
      <c r="B47" s="79" t="s">
        <v>463</v>
      </c>
      <c r="C47" s="82">
        <v>-2384.1</v>
      </c>
      <c r="D47" s="82">
        <v>-1494.6</v>
      </c>
      <c r="E47" s="82">
        <v>-2830</v>
      </c>
      <c r="F47" s="82">
        <v>-1494.6</v>
      </c>
      <c r="G47" s="82">
        <f t="shared" si="0"/>
        <v>1335.4</v>
      </c>
      <c r="H47" s="82">
        <f t="shared" si="1"/>
        <v>52.812720848056536</v>
      </c>
      <c r="I47" s="48"/>
    </row>
    <row r="48" spans="1:9" s="5" customFormat="1" ht="90" x14ac:dyDescent="0.2">
      <c r="A48" s="77" t="s">
        <v>194</v>
      </c>
      <c r="B48" s="79" t="s">
        <v>464</v>
      </c>
      <c r="C48" s="82">
        <v>-2900.9</v>
      </c>
      <c r="D48" s="82">
        <f>-1090-343.1-65.3-801.7+136.5+133.5-613.1</f>
        <v>-2643.2</v>
      </c>
      <c r="E48" s="82">
        <v>-4370</v>
      </c>
      <c r="F48" s="82">
        <f>-1090-343.1-65.3-801.7+136.5+133.5-613.1</f>
        <v>-2643.2</v>
      </c>
      <c r="G48" s="82">
        <f t="shared" si="0"/>
        <v>1726.8000000000002</v>
      </c>
      <c r="H48" s="82">
        <f t="shared" si="1"/>
        <v>60.485125858123567</v>
      </c>
      <c r="I48" s="49" t="s">
        <v>595</v>
      </c>
    </row>
    <row r="49" spans="1:9" s="5" customFormat="1" ht="12.95" customHeight="1" x14ac:dyDescent="0.2">
      <c r="A49" s="78" t="s">
        <v>218</v>
      </c>
      <c r="B49" s="7">
        <v>1060</v>
      </c>
      <c r="C49" s="91">
        <f>SUM(C50:C56)</f>
        <v>-10898</v>
      </c>
      <c r="D49" s="91">
        <f>SUM(D50:D56)</f>
        <v>-9835</v>
      </c>
      <c r="E49" s="91">
        <f>SUM(E50:E56)</f>
        <v>-9270</v>
      </c>
      <c r="F49" s="91">
        <f>SUM(F50:F56)</f>
        <v>-9835</v>
      </c>
      <c r="G49" s="91">
        <f t="shared" si="0"/>
        <v>-565</v>
      </c>
      <c r="H49" s="91">
        <f t="shared" si="1"/>
        <v>106.09492988133763</v>
      </c>
      <c r="I49" s="47"/>
    </row>
    <row r="50" spans="1:9" s="5" customFormat="1" ht="12.95" customHeight="1" x14ac:dyDescent="0.2">
      <c r="A50" s="76" t="s">
        <v>219</v>
      </c>
      <c r="B50" s="8">
        <v>1061</v>
      </c>
      <c r="C50" s="82" t="s">
        <v>51</v>
      </c>
      <c r="D50" s="82" t="s">
        <v>51</v>
      </c>
      <c r="E50" s="82" t="s">
        <v>51</v>
      </c>
      <c r="F50" s="82" t="s">
        <v>51</v>
      </c>
      <c r="G50" s="82">
        <f t="shared" si="0"/>
        <v>0</v>
      </c>
      <c r="H50" s="82" t="s">
        <v>426</v>
      </c>
      <c r="I50" s="48"/>
    </row>
    <row r="51" spans="1:9" s="5" customFormat="1" ht="12.95" customHeight="1" x14ac:dyDescent="0.2">
      <c r="A51" s="76" t="s">
        <v>220</v>
      </c>
      <c r="B51" s="8">
        <v>1062</v>
      </c>
      <c r="C51" s="82" t="s">
        <v>51</v>
      </c>
      <c r="D51" s="82" t="s">
        <v>51</v>
      </c>
      <c r="E51" s="82" t="s">
        <v>51</v>
      </c>
      <c r="F51" s="82" t="s">
        <v>51</v>
      </c>
      <c r="G51" s="82">
        <f t="shared" si="0"/>
        <v>0</v>
      </c>
      <c r="H51" s="82" t="s">
        <v>426</v>
      </c>
      <c r="I51" s="48"/>
    </row>
    <row r="52" spans="1:9" s="5" customFormat="1" ht="12.95" customHeight="1" x14ac:dyDescent="0.2">
      <c r="A52" s="76" t="s">
        <v>198</v>
      </c>
      <c r="B52" s="8">
        <v>1063</v>
      </c>
      <c r="C52" s="82">
        <v>-183.7</v>
      </c>
      <c r="D52" s="82">
        <v>0</v>
      </c>
      <c r="E52" s="82">
        <v>-190</v>
      </c>
      <c r="F52" s="82">
        <v>0</v>
      </c>
      <c r="G52" s="82">
        <f t="shared" si="0"/>
        <v>190</v>
      </c>
      <c r="H52" s="82">
        <f t="shared" si="1"/>
        <v>0</v>
      </c>
      <c r="I52" s="48"/>
    </row>
    <row r="53" spans="1:9" s="5" customFormat="1" ht="12.95" customHeight="1" x14ac:dyDescent="0.2">
      <c r="A53" s="76" t="s">
        <v>199</v>
      </c>
      <c r="B53" s="8">
        <v>1064</v>
      </c>
      <c r="C53" s="82">
        <v>-39.9</v>
      </c>
      <c r="D53" s="82">
        <v>0</v>
      </c>
      <c r="E53" s="82">
        <v>-40</v>
      </c>
      <c r="F53" s="82">
        <v>0</v>
      </c>
      <c r="G53" s="82">
        <f t="shared" si="0"/>
        <v>40</v>
      </c>
      <c r="H53" s="82">
        <f t="shared" si="1"/>
        <v>0</v>
      </c>
      <c r="I53" s="48"/>
    </row>
    <row r="54" spans="1:9" s="5" customFormat="1" ht="12.95" customHeight="1" x14ac:dyDescent="0.2">
      <c r="A54" s="76" t="s">
        <v>221</v>
      </c>
      <c r="B54" s="8">
        <v>1065</v>
      </c>
      <c r="C54" s="82">
        <v>-11.1</v>
      </c>
      <c r="D54" s="82">
        <v>-6.8</v>
      </c>
      <c r="E54" s="82">
        <v>-15</v>
      </c>
      <c r="F54" s="82">
        <v>-6.8</v>
      </c>
      <c r="G54" s="82">
        <f t="shared" si="0"/>
        <v>8.1999999999999993</v>
      </c>
      <c r="H54" s="82">
        <f t="shared" si="1"/>
        <v>45.333333333333329</v>
      </c>
      <c r="I54" s="48"/>
    </row>
    <row r="55" spans="1:9" s="5" customFormat="1" ht="12.95" customHeight="1" x14ac:dyDescent="0.2">
      <c r="A55" s="76" t="s">
        <v>222</v>
      </c>
      <c r="B55" s="8">
        <v>1066</v>
      </c>
      <c r="C55" s="82">
        <v>0</v>
      </c>
      <c r="D55" s="82">
        <v>0</v>
      </c>
      <c r="E55" s="82">
        <v>0</v>
      </c>
      <c r="F55" s="82">
        <v>0</v>
      </c>
      <c r="G55" s="82">
        <f t="shared" si="0"/>
        <v>0</v>
      </c>
      <c r="H55" s="82" t="s">
        <v>426</v>
      </c>
      <c r="I55" s="48"/>
    </row>
    <row r="56" spans="1:9" s="5" customFormat="1" ht="12.95" customHeight="1" x14ac:dyDescent="0.2">
      <c r="A56" s="76" t="s">
        <v>223</v>
      </c>
      <c r="B56" s="8">
        <v>1067</v>
      </c>
      <c r="C56" s="82">
        <f>SUM(C57)</f>
        <v>-10663.3</v>
      </c>
      <c r="D56" s="82">
        <f>SUM(D57)</f>
        <v>-9828.2000000000007</v>
      </c>
      <c r="E56" s="82">
        <f>SUM(E57)</f>
        <v>-9025</v>
      </c>
      <c r="F56" s="82">
        <f>SUM(F57)</f>
        <v>-9828.2000000000007</v>
      </c>
      <c r="G56" s="82">
        <f t="shared" si="0"/>
        <v>-803.20000000000073</v>
      </c>
      <c r="H56" s="82">
        <f t="shared" si="1"/>
        <v>108.89972299168976</v>
      </c>
      <c r="I56" s="48"/>
    </row>
    <row r="57" spans="1:9" s="5" customFormat="1" ht="20.25" customHeight="1" x14ac:dyDescent="0.2">
      <c r="A57" s="77" t="s">
        <v>194</v>
      </c>
      <c r="B57" s="79" t="s">
        <v>477</v>
      </c>
      <c r="C57" s="82">
        <v>-10663.3</v>
      </c>
      <c r="D57" s="82">
        <v>-9828.2000000000007</v>
      </c>
      <c r="E57" s="82">
        <v>-9025</v>
      </c>
      <c r="F57" s="82">
        <v>-9828.2000000000007</v>
      </c>
      <c r="G57" s="82">
        <f t="shared" si="0"/>
        <v>-803.20000000000073</v>
      </c>
      <c r="H57" s="82">
        <f t="shared" si="1"/>
        <v>108.89972299168976</v>
      </c>
      <c r="I57" s="96" t="s">
        <v>582</v>
      </c>
    </row>
    <row r="58" spans="1:9" s="5" customFormat="1" ht="12.95" customHeight="1" x14ac:dyDescent="0.2">
      <c r="A58" s="78" t="s">
        <v>224</v>
      </c>
      <c r="B58" s="7">
        <v>1070</v>
      </c>
      <c r="C58" s="91">
        <f>SUM(C59:C60,C61)</f>
        <v>70974</v>
      </c>
      <c r="D58" s="91">
        <f>SUM(D59:D60,D61)</f>
        <v>91497</v>
      </c>
      <c r="E58" s="91">
        <f>SUM(E59:E60,E61)</f>
        <v>33315</v>
      </c>
      <c r="F58" s="91">
        <f>SUM(F59:F60,F61)</f>
        <v>91497</v>
      </c>
      <c r="G58" s="91">
        <f t="shared" si="0"/>
        <v>58182</v>
      </c>
      <c r="H58" s="91">
        <f t="shared" si="1"/>
        <v>274.6420531292211</v>
      </c>
      <c r="I58" s="47"/>
    </row>
    <row r="59" spans="1:9" s="5" customFormat="1" ht="12.95" customHeight="1" x14ac:dyDescent="0.2">
      <c r="A59" s="76" t="s">
        <v>62</v>
      </c>
      <c r="B59" s="8">
        <v>1071</v>
      </c>
      <c r="C59" s="82">
        <v>39024</v>
      </c>
      <c r="D59" s="82">
        <v>71799.8</v>
      </c>
      <c r="E59" s="82" t="s">
        <v>51</v>
      </c>
      <c r="F59" s="82">
        <v>71799.8</v>
      </c>
      <c r="G59" s="82">
        <f t="shared" si="0"/>
        <v>71799.8</v>
      </c>
      <c r="H59" s="82" t="s">
        <v>426</v>
      </c>
      <c r="I59" s="48"/>
    </row>
    <row r="60" spans="1:9" s="5" customFormat="1" ht="12.95" customHeight="1" x14ac:dyDescent="0.2">
      <c r="A60" s="76" t="s">
        <v>225</v>
      </c>
      <c r="B60" s="8">
        <v>1072</v>
      </c>
      <c r="C60" s="82" t="s">
        <v>51</v>
      </c>
      <c r="D60" s="82" t="s">
        <v>51</v>
      </c>
      <c r="E60" s="82" t="s">
        <v>51</v>
      </c>
      <c r="F60" s="82" t="s">
        <v>51</v>
      </c>
      <c r="G60" s="82">
        <f t="shared" si="0"/>
        <v>0</v>
      </c>
      <c r="H60" s="82" t="s">
        <v>426</v>
      </c>
      <c r="I60" s="48"/>
    </row>
    <row r="61" spans="1:9" s="5" customFormat="1" ht="12.95" customHeight="1" x14ac:dyDescent="0.2">
      <c r="A61" s="76" t="s">
        <v>226</v>
      </c>
      <c r="B61" s="8">
        <v>1073</v>
      </c>
      <c r="C61" s="82">
        <f>SUM(C62:C66)</f>
        <v>31950</v>
      </c>
      <c r="D61" s="82">
        <f>SUM(D62:D66)</f>
        <v>19697.199999999997</v>
      </c>
      <c r="E61" s="82">
        <f>SUM(E62:E66)</f>
        <v>33315</v>
      </c>
      <c r="F61" s="82">
        <f>SUM(F62:F66)</f>
        <v>19697.199999999997</v>
      </c>
      <c r="G61" s="82">
        <f t="shared" si="0"/>
        <v>-13617.800000000003</v>
      </c>
      <c r="H61" s="82">
        <f t="shared" si="1"/>
        <v>59.124118265045766</v>
      </c>
      <c r="I61" s="48"/>
    </row>
    <row r="62" spans="1:9" s="5" customFormat="1" ht="24" customHeight="1" x14ac:dyDescent="0.2">
      <c r="A62" s="77" t="s">
        <v>227</v>
      </c>
      <c r="B62" s="79" t="s">
        <v>465</v>
      </c>
      <c r="C62" s="82">
        <v>8738.6</v>
      </c>
      <c r="D62" s="82">
        <v>11538.9</v>
      </c>
      <c r="E62" s="82">
        <v>29020</v>
      </c>
      <c r="F62" s="82">
        <v>11538.9</v>
      </c>
      <c r="G62" s="82">
        <f t="shared" si="0"/>
        <v>-17481.099999999999</v>
      </c>
      <c r="H62" s="82">
        <f t="shared" si="1"/>
        <v>39.761888352860097</v>
      </c>
      <c r="I62" s="49" t="s">
        <v>583</v>
      </c>
    </row>
    <row r="63" spans="1:9" s="5" customFormat="1" ht="33" customHeight="1" x14ac:dyDescent="0.2">
      <c r="A63" s="77" t="s">
        <v>228</v>
      </c>
      <c r="B63" s="79" t="s">
        <v>466</v>
      </c>
      <c r="C63" s="82">
        <v>2779.9</v>
      </c>
      <c r="D63" s="82">
        <v>3053.6</v>
      </c>
      <c r="E63" s="82">
        <v>2185</v>
      </c>
      <c r="F63" s="82">
        <v>3053.6</v>
      </c>
      <c r="G63" s="82">
        <f t="shared" si="0"/>
        <v>868.59999999999991</v>
      </c>
      <c r="H63" s="82">
        <f t="shared" si="1"/>
        <v>139.75286041189932</v>
      </c>
      <c r="I63" s="49" t="s">
        <v>584</v>
      </c>
    </row>
    <row r="64" spans="1:9" s="5" customFormat="1" ht="26.1" customHeight="1" x14ac:dyDescent="0.2">
      <c r="A64" s="77" t="s">
        <v>229</v>
      </c>
      <c r="B64" s="79" t="s">
        <v>467</v>
      </c>
      <c r="C64" s="82">
        <v>367.1</v>
      </c>
      <c r="D64" s="82">
        <v>125.8</v>
      </c>
      <c r="E64" s="82" t="s">
        <v>51</v>
      </c>
      <c r="F64" s="82">
        <v>125.8</v>
      </c>
      <c r="G64" s="82">
        <f t="shared" si="0"/>
        <v>125.8</v>
      </c>
      <c r="H64" s="82" t="s">
        <v>426</v>
      </c>
      <c r="I64" s="51" t="s">
        <v>509</v>
      </c>
    </row>
    <row r="65" spans="1:9" s="5" customFormat="1" ht="26.25" customHeight="1" x14ac:dyDescent="0.2">
      <c r="A65" s="75" t="s">
        <v>495</v>
      </c>
      <c r="B65" s="79" t="s">
        <v>468</v>
      </c>
      <c r="C65" s="82">
        <v>9895.1</v>
      </c>
      <c r="D65" s="82">
        <v>0</v>
      </c>
      <c r="E65" s="82" t="s">
        <v>51</v>
      </c>
      <c r="F65" s="82">
        <v>0</v>
      </c>
      <c r="G65" s="82">
        <f t="shared" si="0"/>
        <v>0</v>
      </c>
      <c r="H65" s="82" t="s">
        <v>426</v>
      </c>
      <c r="I65" s="48"/>
    </row>
    <row r="66" spans="1:9" s="5" customFormat="1" ht="36" customHeight="1" x14ac:dyDescent="0.2">
      <c r="A66" s="77" t="s">
        <v>230</v>
      </c>
      <c r="B66" s="79" t="s">
        <v>469</v>
      </c>
      <c r="C66" s="82">
        <v>10169.299999999999</v>
      </c>
      <c r="D66" s="82">
        <v>4978.8999999999996</v>
      </c>
      <c r="E66" s="82">
        <v>2110</v>
      </c>
      <c r="F66" s="82">
        <v>4978.8999999999996</v>
      </c>
      <c r="G66" s="82">
        <f t="shared" si="0"/>
        <v>2868.8999999999996</v>
      </c>
      <c r="H66" s="82">
        <f t="shared" si="1"/>
        <v>235.96682464454975</v>
      </c>
      <c r="I66" s="49" t="s">
        <v>585</v>
      </c>
    </row>
    <row r="67" spans="1:9" s="5" customFormat="1" ht="12.95" customHeight="1" x14ac:dyDescent="0.2">
      <c r="A67" s="78" t="s">
        <v>231</v>
      </c>
      <c r="B67" s="7">
        <v>1080</v>
      </c>
      <c r="C67" s="91">
        <f>SUM(C68:C69,C70:C73)</f>
        <v>-67122</v>
      </c>
      <c r="D67" s="91">
        <f>SUM(D68:D69,D70:D73)</f>
        <v>-85524</v>
      </c>
      <c r="E67" s="91">
        <f>SUM(E68:E69,E70:E73)</f>
        <v>-23070</v>
      </c>
      <c r="F67" s="91">
        <f>SUM(F68:F69,F70:F73)</f>
        <v>-85524</v>
      </c>
      <c r="G67" s="91">
        <f t="shared" si="0"/>
        <v>-62454</v>
      </c>
      <c r="H67" s="91">
        <f t="shared" si="1"/>
        <v>370.71521456436926</v>
      </c>
      <c r="I67" s="47"/>
    </row>
    <row r="68" spans="1:9" s="5" customFormat="1" ht="12.95" customHeight="1" x14ac:dyDescent="0.2">
      <c r="A68" s="76" t="s">
        <v>62</v>
      </c>
      <c r="B68" s="8">
        <v>1081</v>
      </c>
      <c r="C68" s="82">
        <v>-40732.400000000001</v>
      </c>
      <c r="D68" s="82">
        <v>-70730.399999999994</v>
      </c>
      <c r="E68" s="82" t="s">
        <v>51</v>
      </c>
      <c r="F68" s="82">
        <v>-70730.399999999994</v>
      </c>
      <c r="G68" s="82">
        <f t="shared" si="0"/>
        <v>-70730.399999999994</v>
      </c>
      <c r="H68" s="82" t="s">
        <v>426</v>
      </c>
      <c r="I68" s="48"/>
    </row>
    <row r="69" spans="1:9" s="5" customFormat="1" ht="12.95" customHeight="1" x14ac:dyDescent="0.2">
      <c r="A69" s="76" t="s">
        <v>232</v>
      </c>
      <c r="B69" s="8">
        <v>1082</v>
      </c>
      <c r="C69" s="82" t="s">
        <v>51</v>
      </c>
      <c r="D69" s="82" t="s">
        <v>51</v>
      </c>
      <c r="E69" s="82" t="s">
        <v>51</v>
      </c>
      <c r="F69" s="82" t="s">
        <v>51</v>
      </c>
      <c r="G69" s="82">
        <f t="shared" si="0"/>
        <v>0</v>
      </c>
      <c r="H69" s="82" t="s">
        <v>426</v>
      </c>
      <c r="I69" s="48"/>
    </row>
    <row r="70" spans="1:9" s="5" customFormat="1" ht="12.95" customHeight="1" x14ac:dyDescent="0.2">
      <c r="A70" s="76" t="s">
        <v>233</v>
      </c>
      <c r="B70" s="8">
        <v>1083</v>
      </c>
      <c r="C70" s="82" t="s">
        <v>51</v>
      </c>
      <c r="D70" s="82" t="s">
        <v>51</v>
      </c>
      <c r="E70" s="82" t="s">
        <v>51</v>
      </c>
      <c r="F70" s="82" t="s">
        <v>51</v>
      </c>
      <c r="G70" s="82">
        <f t="shared" si="0"/>
        <v>0</v>
      </c>
      <c r="H70" s="82" t="s">
        <v>426</v>
      </c>
      <c r="I70" s="48"/>
    </row>
    <row r="71" spans="1:9" s="5" customFormat="1" ht="12.95" customHeight="1" x14ac:dyDescent="0.2">
      <c r="A71" s="76" t="s">
        <v>234</v>
      </c>
      <c r="B71" s="8">
        <v>1084</v>
      </c>
      <c r="C71" s="82">
        <v>-9665.2999999999993</v>
      </c>
      <c r="D71" s="82">
        <v>-8</v>
      </c>
      <c r="E71" s="82" t="s">
        <v>51</v>
      </c>
      <c r="F71" s="82">
        <v>-8</v>
      </c>
      <c r="G71" s="82">
        <f t="shared" si="0"/>
        <v>-8</v>
      </c>
      <c r="H71" s="82" t="s">
        <v>426</v>
      </c>
      <c r="I71" s="48"/>
    </row>
    <row r="72" spans="1:9" s="5" customFormat="1" ht="12.95" customHeight="1" x14ac:dyDescent="0.2">
      <c r="A72" s="76" t="s">
        <v>235</v>
      </c>
      <c r="B72" s="8">
        <v>1085</v>
      </c>
      <c r="C72" s="82" t="s">
        <v>51</v>
      </c>
      <c r="D72" s="82" t="s">
        <v>51</v>
      </c>
      <c r="E72" s="82" t="s">
        <v>51</v>
      </c>
      <c r="F72" s="82" t="s">
        <v>51</v>
      </c>
      <c r="G72" s="82">
        <f t="shared" si="0"/>
        <v>0</v>
      </c>
      <c r="H72" s="82" t="s">
        <v>426</v>
      </c>
      <c r="I72" s="48"/>
    </row>
    <row r="73" spans="1:9" s="5" customFormat="1" ht="12.95" customHeight="1" x14ac:dyDescent="0.2">
      <c r="A73" s="76" t="s">
        <v>236</v>
      </c>
      <c r="B73" s="8">
        <v>1086</v>
      </c>
      <c r="C73" s="82">
        <f>SUM(C74:C78)</f>
        <v>-16724.3</v>
      </c>
      <c r="D73" s="82">
        <f>SUM(D74:D78)</f>
        <v>-14785.599999999999</v>
      </c>
      <c r="E73" s="82">
        <f>SUM(E74:E78)</f>
        <v>-23070</v>
      </c>
      <c r="F73" s="82">
        <f>SUM(F74:F78)</f>
        <v>-14785.599999999999</v>
      </c>
      <c r="G73" s="82">
        <f t="shared" si="0"/>
        <v>8284.4000000000015</v>
      </c>
      <c r="H73" s="82">
        <f t="shared" si="1"/>
        <v>64.09016038144776</v>
      </c>
      <c r="I73" s="48"/>
    </row>
    <row r="74" spans="1:9" s="5" customFormat="1" ht="35.25" customHeight="1" x14ac:dyDescent="0.2">
      <c r="A74" s="77" t="s">
        <v>237</v>
      </c>
      <c r="B74" s="79" t="s">
        <v>470</v>
      </c>
      <c r="C74" s="82">
        <v>-7324.4</v>
      </c>
      <c r="D74" s="82">
        <v>-7422.4</v>
      </c>
      <c r="E74" s="82">
        <v>-9905</v>
      </c>
      <c r="F74" s="82">
        <v>-7422.4</v>
      </c>
      <c r="G74" s="82">
        <f t="shared" ref="G74:G105" si="2">F74-E74</f>
        <v>2482.6000000000004</v>
      </c>
      <c r="H74" s="82">
        <f t="shared" ref="H74:H104" si="3">F74/E74*100</f>
        <v>74.935890964159512</v>
      </c>
      <c r="I74" s="49" t="s">
        <v>586</v>
      </c>
    </row>
    <row r="75" spans="1:9" s="5" customFormat="1" ht="33.75" x14ac:dyDescent="0.2">
      <c r="A75" s="77" t="s">
        <v>238</v>
      </c>
      <c r="B75" s="79" t="s">
        <v>471</v>
      </c>
      <c r="C75" s="82">
        <v>-1908.4</v>
      </c>
      <c r="D75" s="82">
        <v>-1629.3</v>
      </c>
      <c r="E75" s="82">
        <v>-1560</v>
      </c>
      <c r="F75" s="82">
        <v>-1629.3</v>
      </c>
      <c r="G75" s="82">
        <f t="shared" si="2"/>
        <v>-69.299999999999955</v>
      </c>
      <c r="H75" s="82">
        <f t="shared" si="3"/>
        <v>104.44230769230769</v>
      </c>
      <c r="I75" s="49" t="s">
        <v>587</v>
      </c>
    </row>
    <row r="76" spans="1:9" s="5" customFormat="1" ht="12.95" customHeight="1" x14ac:dyDescent="0.2">
      <c r="A76" s="77" t="s">
        <v>239</v>
      </c>
      <c r="B76" s="79" t="s">
        <v>472</v>
      </c>
      <c r="C76" s="82">
        <v>-1550</v>
      </c>
      <c r="D76" s="82">
        <v>-965</v>
      </c>
      <c r="E76" s="82">
        <v>-2200</v>
      </c>
      <c r="F76" s="82">
        <v>-965</v>
      </c>
      <c r="G76" s="82">
        <f t="shared" si="2"/>
        <v>1235</v>
      </c>
      <c r="H76" s="82">
        <f t="shared" si="3"/>
        <v>43.863636363636367</v>
      </c>
      <c r="I76" s="48"/>
    </row>
    <row r="77" spans="1:9" s="5" customFormat="1" ht="18.75" customHeight="1" x14ac:dyDescent="0.2">
      <c r="A77" s="77" t="s">
        <v>240</v>
      </c>
      <c r="B77" s="79" t="s">
        <v>473</v>
      </c>
      <c r="C77" s="82">
        <v>-0.5</v>
      </c>
      <c r="D77" s="82">
        <v>-514.70000000000005</v>
      </c>
      <c r="E77" s="82">
        <v>0</v>
      </c>
      <c r="F77" s="82">
        <v>-514.70000000000005</v>
      </c>
      <c r="G77" s="82">
        <f t="shared" si="2"/>
        <v>-514.70000000000005</v>
      </c>
      <c r="H77" s="82" t="s">
        <v>426</v>
      </c>
      <c r="I77" s="50" t="s">
        <v>593</v>
      </c>
    </row>
    <row r="78" spans="1:9" s="5" customFormat="1" ht="45.75" customHeight="1" x14ac:dyDescent="0.2">
      <c r="A78" s="77" t="s">
        <v>241</v>
      </c>
      <c r="B78" s="79" t="s">
        <v>474</v>
      </c>
      <c r="C78" s="82">
        <v>-5941</v>
      </c>
      <c r="D78" s="82">
        <v>-4254.2</v>
      </c>
      <c r="E78" s="82">
        <f>-8805-600</f>
        <v>-9405</v>
      </c>
      <c r="F78" s="82">
        <v>-4254.2</v>
      </c>
      <c r="G78" s="82">
        <f t="shared" si="2"/>
        <v>5150.8</v>
      </c>
      <c r="H78" s="82">
        <f t="shared" si="3"/>
        <v>45.233386496544384</v>
      </c>
      <c r="I78" s="49" t="s">
        <v>588</v>
      </c>
    </row>
    <row r="79" spans="1:9" s="5" customFormat="1" ht="12.95" customHeight="1" x14ac:dyDescent="0.2">
      <c r="A79" s="78" t="s">
        <v>66</v>
      </c>
      <c r="B79" s="7">
        <v>1100</v>
      </c>
      <c r="C79" s="91">
        <f>SUM(C20,C21,C49,C58,C67)</f>
        <v>-14145</v>
      </c>
      <c r="D79" s="91">
        <f>SUM(D20,D21,D49,D58,D67)</f>
        <v>-27395</v>
      </c>
      <c r="E79" s="91">
        <f>SUM(E20,E21,E49,E58,E67)</f>
        <v>-5865</v>
      </c>
      <c r="F79" s="91">
        <f>SUM(F20,F21,F49,F58,F67)</f>
        <v>-27395</v>
      </c>
      <c r="G79" s="91">
        <f t="shared" si="2"/>
        <v>-21530</v>
      </c>
      <c r="H79" s="91">
        <f t="shared" si="3"/>
        <v>467.09292412617219</v>
      </c>
      <c r="I79" s="47"/>
    </row>
    <row r="80" spans="1:9" s="5" customFormat="1" ht="12.95" customHeight="1" x14ac:dyDescent="0.2">
      <c r="A80" s="76" t="s">
        <v>242</v>
      </c>
      <c r="B80" s="8">
        <v>1110</v>
      </c>
      <c r="C80" s="82" t="s">
        <v>51</v>
      </c>
      <c r="D80" s="82" t="s">
        <v>51</v>
      </c>
      <c r="E80" s="82" t="s">
        <v>51</v>
      </c>
      <c r="F80" s="82" t="s">
        <v>51</v>
      </c>
      <c r="G80" s="82">
        <f t="shared" si="2"/>
        <v>0</v>
      </c>
      <c r="H80" s="82" t="s">
        <v>426</v>
      </c>
      <c r="I80" s="48"/>
    </row>
    <row r="81" spans="1:9" s="5" customFormat="1" ht="12.95" customHeight="1" x14ac:dyDescent="0.2">
      <c r="A81" s="76" t="s">
        <v>243</v>
      </c>
      <c r="B81" s="8">
        <v>1120</v>
      </c>
      <c r="C81" s="82" t="s">
        <v>51</v>
      </c>
      <c r="D81" s="82" t="s">
        <v>51</v>
      </c>
      <c r="E81" s="82" t="s">
        <v>51</v>
      </c>
      <c r="F81" s="82" t="s">
        <v>51</v>
      </c>
      <c r="G81" s="82">
        <f t="shared" si="2"/>
        <v>0</v>
      </c>
      <c r="H81" s="82" t="s">
        <v>426</v>
      </c>
      <c r="I81" s="48"/>
    </row>
    <row r="82" spans="1:9" s="5" customFormat="1" ht="12.95" customHeight="1" x14ac:dyDescent="0.2">
      <c r="A82" s="78" t="s">
        <v>244</v>
      </c>
      <c r="B82" s="7">
        <v>1130</v>
      </c>
      <c r="C82" s="91">
        <f>SUM(C83:C84)</f>
        <v>22031</v>
      </c>
      <c r="D82" s="91">
        <f>SUM(D83:D84)</f>
        <v>10485</v>
      </c>
      <c r="E82" s="91">
        <f>SUM(E83:E84)</f>
        <v>11745</v>
      </c>
      <c r="F82" s="91">
        <f>SUM(F83:F84)</f>
        <v>10485</v>
      </c>
      <c r="G82" s="91">
        <f t="shared" si="2"/>
        <v>-1260</v>
      </c>
      <c r="H82" s="82">
        <f t="shared" si="3"/>
        <v>89.272030651340998</v>
      </c>
      <c r="I82" s="47"/>
    </row>
    <row r="83" spans="1:9" s="5" customFormat="1" ht="13.5" customHeight="1" x14ac:dyDescent="0.2">
      <c r="A83" s="75" t="s">
        <v>475</v>
      </c>
      <c r="B83" s="79">
        <v>1131</v>
      </c>
      <c r="C83" s="82">
        <v>0</v>
      </c>
      <c r="D83" s="82">
        <v>0</v>
      </c>
      <c r="E83" s="82">
        <v>0</v>
      </c>
      <c r="F83" s="82">
        <v>0</v>
      </c>
      <c r="G83" s="82">
        <f t="shared" si="2"/>
        <v>0</v>
      </c>
      <c r="H83" s="82" t="s">
        <v>426</v>
      </c>
      <c r="I83" s="50"/>
    </row>
    <row r="84" spans="1:9" s="5" customFormat="1" ht="47.25" customHeight="1" x14ac:dyDescent="0.2">
      <c r="A84" s="77" t="s">
        <v>245</v>
      </c>
      <c r="B84" s="79">
        <v>1132</v>
      </c>
      <c r="C84" s="82">
        <v>22031</v>
      </c>
      <c r="D84" s="82">
        <f>10358.3+126.7</f>
        <v>10485</v>
      </c>
      <c r="E84" s="82">
        <v>11745</v>
      </c>
      <c r="F84" s="82">
        <f>10358.3+126.7</f>
        <v>10485</v>
      </c>
      <c r="G84" s="82">
        <f t="shared" si="2"/>
        <v>-1260</v>
      </c>
      <c r="H84" s="82">
        <f t="shared" si="3"/>
        <v>89.272030651340998</v>
      </c>
      <c r="I84" s="49" t="s">
        <v>589</v>
      </c>
    </row>
    <row r="85" spans="1:9" s="5" customFormat="1" ht="12.95" customHeight="1" x14ac:dyDescent="0.2">
      <c r="A85" s="78" t="s">
        <v>246</v>
      </c>
      <c r="B85" s="7">
        <v>1140</v>
      </c>
      <c r="C85" s="91">
        <f>SUM(C86:C86)</f>
        <v>-1427</v>
      </c>
      <c r="D85" s="91">
        <f>SUM(D86:D86)</f>
        <v>-1939</v>
      </c>
      <c r="E85" s="91">
        <f>SUM(E86:E86)</f>
        <v>-2600</v>
      </c>
      <c r="F85" s="91">
        <f>SUM(F86:F86)</f>
        <v>-1939</v>
      </c>
      <c r="G85" s="91">
        <f t="shared" si="2"/>
        <v>661</v>
      </c>
      <c r="H85" s="91">
        <f t="shared" si="3"/>
        <v>74.57692307692308</v>
      </c>
      <c r="I85" s="49"/>
    </row>
    <row r="86" spans="1:9" s="5" customFormat="1" ht="13.5" customHeight="1" x14ac:dyDescent="0.2">
      <c r="A86" s="77" t="s">
        <v>247</v>
      </c>
      <c r="B86" s="79">
        <v>1141</v>
      </c>
      <c r="C86" s="82">
        <v>-1427</v>
      </c>
      <c r="D86" s="82">
        <v>-1939</v>
      </c>
      <c r="E86" s="82">
        <v>-2600</v>
      </c>
      <c r="F86" s="82">
        <v>-1939</v>
      </c>
      <c r="G86" s="82">
        <f t="shared" si="2"/>
        <v>661</v>
      </c>
      <c r="H86" s="82">
        <f t="shared" si="3"/>
        <v>74.57692307692308</v>
      </c>
      <c r="I86" s="49" t="s">
        <v>590</v>
      </c>
    </row>
    <row r="87" spans="1:9" s="5" customFormat="1" ht="12.95" customHeight="1" x14ac:dyDescent="0.2">
      <c r="A87" s="78" t="s">
        <v>73</v>
      </c>
      <c r="B87" s="7">
        <v>1150</v>
      </c>
      <c r="C87" s="91">
        <f>SUM(C88:C89)</f>
        <v>3786</v>
      </c>
      <c r="D87" s="91">
        <f>SUM(D88:D89)</f>
        <v>12902</v>
      </c>
      <c r="E87" s="91">
        <f>SUM(E88:E89)</f>
        <v>59515</v>
      </c>
      <c r="F87" s="91">
        <f>SUM(F88:F89)</f>
        <v>12902</v>
      </c>
      <c r="G87" s="91">
        <f t="shared" si="2"/>
        <v>-46613</v>
      </c>
      <c r="H87" s="91">
        <f t="shared" si="3"/>
        <v>21.678568428127363</v>
      </c>
      <c r="I87" s="49"/>
    </row>
    <row r="88" spans="1:9" s="5" customFormat="1" ht="12.95" customHeight="1" x14ac:dyDescent="0.2">
      <c r="A88" s="76" t="s">
        <v>62</v>
      </c>
      <c r="B88" s="8">
        <v>1151</v>
      </c>
      <c r="C88" s="82">
        <v>728.8</v>
      </c>
      <c r="D88" s="82">
        <v>21.3</v>
      </c>
      <c r="E88" s="82" t="s">
        <v>51</v>
      </c>
      <c r="F88" s="82">
        <v>21.3</v>
      </c>
      <c r="G88" s="82">
        <f t="shared" si="2"/>
        <v>21.3</v>
      </c>
      <c r="H88" s="82" t="s">
        <v>426</v>
      </c>
      <c r="I88" s="49"/>
    </row>
    <row r="89" spans="1:9" s="5" customFormat="1" ht="12.95" customHeight="1" x14ac:dyDescent="0.2">
      <c r="A89" s="76" t="s">
        <v>248</v>
      </c>
      <c r="B89" s="8">
        <v>1152</v>
      </c>
      <c r="C89" s="82">
        <f>SUM(C90:C90)</f>
        <v>3057.2</v>
      </c>
      <c r="D89" s="82">
        <f>SUM(D90:D90)</f>
        <v>12880.7</v>
      </c>
      <c r="E89" s="82">
        <f>SUM(E90:E90)</f>
        <v>59515</v>
      </c>
      <c r="F89" s="82">
        <f>SUM(F90:F90)</f>
        <v>12880.7</v>
      </c>
      <c r="G89" s="82">
        <f t="shared" si="2"/>
        <v>-46634.3</v>
      </c>
      <c r="H89" s="82">
        <f t="shared" si="3"/>
        <v>21.642779131311435</v>
      </c>
      <c r="I89" s="49"/>
    </row>
    <row r="90" spans="1:9" s="5" customFormat="1" ht="46.5" customHeight="1" x14ac:dyDescent="0.2">
      <c r="A90" s="77" t="s">
        <v>249</v>
      </c>
      <c r="B90" s="79" t="s">
        <v>476</v>
      </c>
      <c r="C90" s="82">
        <v>3057.2</v>
      </c>
      <c r="D90" s="82">
        <f>11714.2+1166.5</f>
        <v>12880.7</v>
      </c>
      <c r="E90" s="82">
        <v>59515</v>
      </c>
      <c r="F90" s="82">
        <f>11714.2+1166.5</f>
        <v>12880.7</v>
      </c>
      <c r="G90" s="82">
        <f t="shared" si="2"/>
        <v>-46634.3</v>
      </c>
      <c r="H90" s="82">
        <f t="shared" si="3"/>
        <v>21.642779131311435</v>
      </c>
      <c r="I90" s="49" t="s">
        <v>594</v>
      </c>
    </row>
    <row r="91" spans="1:9" s="5" customFormat="1" ht="12.95" customHeight="1" x14ac:dyDescent="0.2">
      <c r="A91" s="78" t="s">
        <v>74</v>
      </c>
      <c r="B91" s="7">
        <v>1160</v>
      </c>
      <c r="C91" s="91">
        <f>SUM(C92:C93)</f>
        <v>-1430</v>
      </c>
      <c r="D91" s="91">
        <f>SUM(D92:D93)</f>
        <v>-2688</v>
      </c>
      <c r="E91" s="91">
        <f>SUM(E92:E93)</f>
        <v>-9185</v>
      </c>
      <c r="F91" s="91">
        <f>SUM(F92:F93)</f>
        <v>-2688</v>
      </c>
      <c r="G91" s="91">
        <f t="shared" si="2"/>
        <v>6497</v>
      </c>
      <c r="H91" s="91">
        <f t="shared" si="3"/>
        <v>29.265106151333697</v>
      </c>
      <c r="I91" s="47"/>
    </row>
    <row r="92" spans="1:9" s="5" customFormat="1" ht="9.75" customHeight="1" x14ac:dyDescent="0.2">
      <c r="A92" s="76" t="s">
        <v>62</v>
      </c>
      <c r="B92" s="8">
        <v>1161</v>
      </c>
      <c r="C92" s="82">
        <v>-139.80000000000001</v>
      </c>
      <c r="D92" s="82">
        <v>-18.8</v>
      </c>
      <c r="E92" s="82" t="s">
        <v>51</v>
      </c>
      <c r="F92" s="82">
        <v>-18.8</v>
      </c>
      <c r="G92" s="82">
        <f t="shared" si="2"/>
        <v>-18.8</v>
      </c>
      <c r="H92" s="82" t="s">
        <v>426</v>
      </c>
      <c r="I92" s="48"/>
    </row>
    <row r="93" spans="1:9" s="5" customFormat="1" ht="10.5" customHeight="1" x14ac:dyDescent="0.2">
      <c r="A93" s="76" t="s">
        <v>192</v>
      </c>
      <c r="B93" s="8">
        <v>1162</v>
      </c>
      <c r="C93" s="82">
        <f>SUM(C94:C94)</f>
        <v>-1290.2</v>
      </c>
      <c r="D93" s="82">
        <f>SUM(D94:D94)</f>
        <v>-2669.2</v>
      </c>
      <c r="E93" s="82">
        <f>SUM(E94:E94)</f>
        <v>-9185</v>
      </c>
      <c r="F93" s="82">
        <f>SUM(F94:F94)</f>
        <v>-2669.2</v>
      </c>
      <c r="G93" s="82">
        <f t="shared" si="2"/>
        <v>6515.8</v>
      </c>
      <c r="H93" s="82">
        <f t="shared" si="3"/>
        <v>29.060424605334784</v>
      </c>
      <c r="I93" s="48"/>
    </row>
    <row r="94" spans="1:9" s="5" customFormat="1" ht="33.75" customHeight="1" x14ac:dyDescent="0.2">
      <c r="A94" s="77" t="s">
        <v>194</v>
      </c>
      <c r="B94" s="86" t="s">
        <v>478</v>
      </c>
      <c r="C94" s="82">
        <v>-1290.2</v>
      </c>
      <c r="D94" s="82">
        <f>-1606.6-1062.6</f>
        <v>-2669.2</v>
      </c>
      <c r="E94" s="82">
        <v>-9185</v>
      </c>
      <c r="F94" s="82">
        <f>-1606.6-1062.6</f>
        <v>-2669.2</v>
      </c>
      <c r="G94" s="82">
        <f t="shared" si="2"/>
        <v>6515.8</v>
      </c>
      <c r="H94" s="82">
        <f t="shared" si="3"/>
        <v>29.060424605334784</v>
      </c>
      <c r="I94" s="49" t="s">
        <v>591</v>
      </c>
    </row>
    <row r="95" spans="1:9" s="5" customFormat="1" ht="12.95" customHeight="1" x14ac:dyDescent="0.2">
      <c r="A95" s="78" t="s">
        <v>75</v>
      </c>
      <c r="B95" s="7">
        <v>1170</v>
      </c>
      <c r="C95" s="91">
        <f>SUM(C79,C82,C85,C87,C91)</f>
        <v>8815</v>
      </c>
      <c r="D95" s="91">
        <f>SUM(D79,D82,D85,D87,D91)</f>
        <v>-8635</v>
      </c>
      <c r="E95" s="91">
        <f>SUM(E79,E82,E85,E87,E91)</f>
        <v>53610</v>
      </c>
      <c r="F95" s="91">
        <f>SUM(F79,F82,F85,F87,F91)</f>
        <v>-8635</v>
      </c>
      <c r="G95" s="91">
        <f t="shared" si="2"/>
        <v>-62245</v>
      </c>
      <c r="H95" s="91">
        <f t="shared" si="3"/>
        <v>-16.107069576571533</v>
      </c>
      <c r="I95" s="47"/>
    </row>
    <row r="96" spans="1:9" s="5" customFormat="1" ht="12.95" customHeight="1" x14ac:dyDescent="0.2">
      <c r="A96" s="78" t="s">
        <v>76</v>
      </c>
      <c r="B96" s="7">
        <v>1180</v>
      </c>
      <c r="C96" s="91">
        <v>-1587</v>
      </c>
      <c r="D96" s="91">
        <v>0</v>
      </c>
      <c r="E96" s="91">
        <v>-9650</v>
      </c>
      <c r="F96" s="91">
        <v>0</v>
      </c>
      <c r="G96" s="91">
        <f t="shared" si="2"/>
        <v>9650</v>
      </c>
      <c r="H96" s="91">
        <f t="shared" si="3"/>
        <v>0</v>
      </c>
      <c r="I96" s="47"/>
    </row>
    <row r="97" spans="1:9" s="5" customFormat="1" ht="12.95" customHeight="1" x14ac:dyDescent="0.2">
      <c r="A97" s="76" t="s">
        <v>77</v>
      </c>
      <c r="B97" s="8">
        <v>1181</v>
      </c>
      <c r="C97" s="82">
        <v>0</v>
      </c>
      <c r="D97" s="82">
        <v>0</v>
      </c>
      <c r="E97" s="82">
        <v>0</v>
      </c>
      <c r="F97" s="82">
        <v>0</v>
      </c>
      <c r="G97" s="82">
        <f t="shared" si="2"/>
        <v>0</v>
      </c>
      <c r="H97" s="82" t="s">
        <v>426</v>
      </c>
      <c r="I97" s="48"/>
    </row>
    <row r="98" spans="1:9" s="5" customFormat="1" ht="12.95" customHeight="1" x14ac:dyDescent="0.2">
      <c r="A98" s="76" t="s">
        <v>78</v>
      </c>
      <c r="B98" s="8">
        <v>1190</v>
      </c>
      <c r="C98" s="82">
        <v>0</v>
      </c>
      <c r="D98" s="82">
        <v>0</v>
      </c>
      <c r="E98" s="82">
        <v>0</v>
      </c>
      <c r="F98" s="82">
        <v>0</v>
      </c>
      <c r="G98" s="82">
        <f t="shared" si="2"/>
        <v>0</v>
      </c>
      <c r="H98" s="82" t="s">
        <v>426</v>
      </c>
      <c r="I98" s="48"/>
    </row>
    <row r="99" spans="1:9" s="5" customFormat="1" ht="12.95" customHeight="1" x14ac:dyDescent="0.2">
      <c r="A99" s="76" t="s">
        <v>79</v>
      </c>
      <c r="B99" s="8">
        <v>1191</v>
      </c>
      <c r="C99" s="82">
        <v>0</v>
      </c>
      <c r="D99" s="82">
        <v>0</v>
      </c>
      <c r="E99" s="82">
        <v>0</v>
      </c>
      <c r="F99" s="82">
        <v>0</v>
      </c>
      <c r="G99" s="82">
        <f t="shared" si="2"/>
        <v>0</v>
      </c>
      <c r="H99" s="82" t="s">
        <v>426</v>
      </c>
      <c r="I99" s="48"/>
    </row>
    <row r="100" spans="1:9" s="5" customFormat="1" ht="12.95" customHeight="1" x14ac:dyDescent="0.2">
      <c r="A100" s="78" t="s">
        <v>250</v>
      </c>
      <c r="B100" s="7">
        <v>1200</v>
      </c>
      <c r="C100" s="91">
        <f>SUM(C95:C99)</f>
        <v>7228</v>
      </c>
      <c r="D100" s="91">
        <f>SUM(D95:D96)</f>
        <v>-8635</v>
      </c>
      <c r="E100" s="91">
        <f>SUM(E95:E99)</f>
        <v>43960</v>
      </c>
      <c r="F100" s="91">
        <f>SUM(F95:F96)</f>
        <v>-8635</v>
      </c>
      <c r="G100" s="91">
        <f t="shared" si="2"/>
        <v>-52595</v>
      </c>
      <c r="H100" s="91">
        <f t="shared" si="3"/>
        <v>-19.642857142857142</v>
      </c>
      <c r="I100" s="47"/>
    </row>
    <row r="101" spans="1:9" s="5" customFormat="1" ht="12.95" customHeight="1" x14ac:dyDescent="0.2">
      <c r="A101" s="76" t="s">
        <v>251</v>
      </c>
      <c r="B101" s="8">
        <v>1201</v>
      </c>
      <c r="C101" s="82">
        <f>IF(C100&gt;0,C100,0)</f>
        <v>7228</v>
      </c>
      <c r="D101" s="82">
        <f>IF(D100&gt;0,D100,0)</f>
        <v>0</v>
      </c>
      <c r="E101" s="82">
        <v>64685</v>
      </c>
      <c r="F101" s="82">
        <f>IF(F100&gt;0,F100,0)</f>
        <v>0</v>
      </c>
      <c r="G101" s="82">
        <f t="shared" si="2"/>
        <v>-64685</v>
      </c>
      <c r="H101" s="82">
        <f t="shared" si="3"/>
        <v>0</v>
      </c>
      <c r="I101" s="48"/>
    </row>
    <row r="102" spans="1:9" s="5" customFormat="1" ht="12.95" customHeight="1" x14ac:dyDescent="0.2">
      <c r="A102" s="76" t="s">
        <v>252</v>
      </c>
      <c r="B102" s="8">
        <v>1202</v>
      </c>
      <c r="C102" s="82">
        <f>IF(C100&lt;0,C100,0)</f>
        <v>0</v>
      </c>
      <c r="D102" s="82">
        <f>IF(D100&lt;0,D100,0)</f>
        <v>-8635</v>
      </c>
      <c r="E102" s="82">
        <v>-20725</v>
      </c>
      <c r="F102" s="82">
        <f>IF(F100&lt;0,F100,0)</f>
        <v>-8635</v>
      </c>
      <c r="G102" s="82">
        <f t="shared" si="2"/>
        <v>12090</v>
      </c>
      <c r="H102" s="111">
        <f t="shared" si="3"/>
        <v>41.664656212303981</v>
      </c>
      <c r="I102" s="48"/>
    </row>
    <row r="103" spans="1:9" s="5" customFormat="1" ht="12.95" customHeight="1" x14ac:dyDescent="0.2">
      <c r="A103" s="78" t="s">
        <v>83</v>
      </c>
      <c r="B103" s="7">
        <v>1210</v>
      </c>
      <c r="C103" s="91">
        <f>SUM(C7,C58,C80,C82,C87)</f>
        <v>987362</v>
      </c>
      <c r="D103" s="91">
        <f>SUM(D7,D58,D80,D82,D87)</f>
        <v>988414</v>
      </c>
      <c r="E103" s="91">
        <f>SUM(E7,E58,E80,E82,E87)</f>
        <v>1083845</v>
      </c>
      <c r="F103" s="91">
        <f>SUM(F7,F58,F80,F82,F87)</f>
        <v>988414</v>
      </c>
      <c r="G103" s="91">
        <f t="shared" si="2"/>
        <v>-95431</v>
      </c>
      <c r="H103" s="91">
        <f t="shared" si="3"/>
        <v>91.195143216972909</v>
      </c>
      <c r="I103" s="47"/>
    </row>
    <row r="104" spans="1:9" s="5" customFormat="1" ht="12.95" customHeight="1" x14ac:dyDescent="0.2">
      <c r="A104" s="78" t="s">
        <v>84</v>
      </c>
      <c r="B104" s="7">
        <v>1220</v>
      </c>
      <c r="C104" s="91">
        <f>SUM(C8,C21,C49,C81,C67,C91,C85,C96)</f>
        <v>-980134</v>
      </c>
      <c r="D104" s="91">
        <f>SUM(D8,D21,D49,D81,D67,D91,D85,D96)</f>
        <v>-997049</v>
      </c>
      <c r="E104" s="91">
        <f>SUM(E8,E21,E49,E81,E67,E91,E85,E96)</f>
        <v>-1039885</v>
      </c>
      <c r="F104" s="91">
        <f>SUM(F8,F21,F49,F81,F67,F91,F85,F96)</f>
        <v>-997049</v>
      </c>
      <c r="G104" s="91">
        <f t="shared" si="2"/>
        <v>42836</v>
      </c>
      <c r="H104" s="91">
        <f t="shared" si="3"/>
        <v>95.88069834645178</v>
      </c>
      <c r="I104" s="47"/>
    </row>
    <row r="105" spans="1:9" s="5" customFormat="1" ht="12.95" customHeight="1" x14ac:dyDescent="0.2">
      <c r="A105" s="76" t="s">
        <v>85</v>
      </c>
      <c r="B105" s="8">
        <v>1230</v>
      </c>
      <c r="C105" s="82" t="s">
        <v>51</v>
      </c>
      <c r="D105" s="82" t="s">
        <v>51</v>
      </c>
      <c r="E105" s="82" t="s">
        <v>51</v>
      </c>
      <c r="F105" s="82" t="s">
        <v>51</v>
      </c>
      <c r="G105" s="82">
        <f t="shared" si="2"/>
        <v>0</v>
      </c>
      <c r="H105" s="82" t="s">
        <v>426</v>
      </c>
      <c r="I105" s="48"/>
    </row>
    <row r="106" spans="1:9" s="5" customFormat="1" ht="12" customHeight="1" x14ac:dyDescent="0.2">
      <c r="A106" s="146" t="s">
        <v>253</v>
      </c>
      <c r="B106" s="146"/>
      <c r="C106" s="146"/>
      <c r="D106" s="146"/>
      <c r="E106" s="146"/>
      <c r="I106" s="52"/>
    </row>
    <row r="107" spans="1:9" s="5" customFormat="1" ht="12.95" customHeight="1" x14ac:dyDescent="0.2">
      <c r="A107" s="76" t="s">
        <v>254</v>
      </c>
      <c r="B107" s="8">
        <v>1300</v>
      </c>
      <c r="C107" s="82">
        <f>C79</f>
        <v>-14145</v>
      </c>
      <c r="D107" s="82">
        <f>D79</f>
        <v>-27395</v>
      </c>
      <c r="E107" s="82">
        <f>E79</f>
        <v>-5865</v>
      </c>
      <c r="F107" s="82">
        <f>F79</f>
        <v>-27395</v>
      </c>
      <c r="G107" s="82">
        <f>F107-E107</f>
        <v>-21530</v>
      </c>
      <c r="H107" s="82">
        <f>F107/E107*100</f>
        <v>467.09292412617219</v>
      </c>
      <c r="I107" s="48"/>
    </row>
    <row r="108" spans="1:9" s="5" customFormat="1" ht="12.95" customHeight="1" x14ac:dyDescent="0.2">
      <c r="A108" s="76" t="s">
        <v>255</v>
      </c>
      <c r="B108" s="8">
        <v>1301</v>
      </c>
      <c r="C108" s="82">
        <f>C120</f>
        <v>18188</v>
      </c>
      <c r="D108" s="82">
        <f>D120</f>
        <v>13757</v>
      </c>
      <c r="E108" s="82">
        <f>E120</f>
        <v>14680</v>
      </c>
      <c r="F108" s="82">
        <f>F120</f>
        <v>13757</v>
      </c>
      <c r="G108" s="82">
        <f t="shared" ref="G108:G113" si="4">F108-E108</f>
        <v>-923</v>
      </c>
      <c r="H108" s="82">
        <f>F108/E108*100</f>
        <v>93.712534059945511</v>
      </c>
      <c r="I108" s="48"/>
    </row>
    <row r="109" spans="1:9" s="5" customFormat="1" ht="12.95" customHeight="1" x14ac:dyDescent="0.2">
      <c r="A109" s="76" t="s">
        <v>256</v>
      </c>
      <c r="B109" s="8">
        <v>1302</v>
      </c>
      <c r="C109" s="82">
        <f>C59</f>
        <v>39024</v>
      </c>
      <c r="D109" s="82">
        <f>D59</f>
        <v>71799.8</v>
      </c>
      <c r="E109" s="82" t="str">
        <f>E59</f>
        <v>0,0</v>
      </c>
      <c r="F109" s="82">
        <f>F59</f>
        <v>71799.8</v>
      </c>
      <c r="G109" s="82">
        <f t="shared" si="4"/>
        <v>71799.8</v>
      </c>
      <c r="H109" s="82">
        <v>0</v>
      </c>
      <c r="I109" s="48"/>
    </row>
    <row r="110" spans="1:9" s="5" customFormat="1" ht="12.95" customHeight="1" x14ac:dyDescent="0.2">
      <c r="A110" s="76" t="s">
        <v>257</v>
      </c>
      <c r="B110" s="8">
        <v>1303</v>
      </c>
      <c r="C110" s="82">
        <f>C68</f>
        <v>-40732.400000000001</v>
      </c>
      <c r="D110" s="82">
        <f>D68</f>
        <v>-70730.399999999994</v>
      </c>
      <c r="E110" s="82" t="str">
        <f>E68</f>
        <v>0,0</v>
      </c>
      <c r="F110" s="82">
        <f>F68</f>
        <v>-70730.399999999994</v>
      </c>
      <c r="G110" s="82">
        <f t="shared" si="4"/>
        <v>-70730.399999999994</v>
      </c>
      <c r="H110" s="82">
        <v>0</v>
      </c>
      <c r="I110" s="48"/>
    </row>
    <row r="111" spans="1:9" s="5" customFormat="1" ht="12.95" customHeight="1" x14ac:dyDescent="0.2">
      <c r="A111" s="76" t="s">
        <v>258</v>
      </c>
      <c r="B111" s="8">
        <v>1304</v>
      </c>
      <c r="C111" s="82" t="str">
        <f>C60</f>
        <v>0,0</v>
      </c>
      <c r="D111" s="82" t="str">
        <f>D60</f>
        <v>0,0</v>
      </c>
      <c r="E111" s="82" t="str">
        <f>E60</f>
        <v>0,0</v>
      </c>
      <c r="F111" s="82" t="str">
        <f>F60</f>
        <v>0,0</v>
      </c>
      <c r="G111" s="82">
        <f t="shared" si="4"/>
        <v>0</v>
      </c>
      <c r="H111" s="82">
        <v>0</v>
      </c>
      <c r="I111" s="48"/>
    </row>
    <row r="112" spans="1:9" s="5" customFormat="1" ht="12.95" customHeight="1" x14ac:dyDescent="0.2">
      <c r="A112" s="76" t="s">
        <v>259</v>
      </c>
      <c r="B112" s="8">
        <v>1305</v>
      </c>
      <c r="C112" s="82" t="str">
        <f>C69</f>
        <v>0,0</v>
      </c>
      <c r="D112" s="82" t="str">
        <f>D69</f>
        <v>0,0</v>
      </c>
      <c r="E112" s="82" t="str">
        <f>E69</f>
        <v>0,0</v>
      </c>
      <c r="F112" s="82" t="str">
        <f>F69</f>
        <v>0,0</v>
      </c>
      <c r="G112" s="82">
        <f t="shared" si="4"/>
        <v>0</v>
      </c>
      <c r="H112" s="82">
        <v>0</v>
      </c>
      <c r="I112" s="48"/>
    </row>
    <row r="113" spans="1:9" s="5" customFormat="1" ht="12" customHeight="1" x14ac:dyDescent="0.2">
      <c r="A113" s="78" t="s">
        <v>67</v>
      </c>
      <c r="B113" s="7">
        <v>1310</v>
      </c>
      <c r="C113" s="91">
        <f>C107+C108-C109-C110-C111-C112</f>
        <v>5751.4000000000015</v>
      </c>
      <c r="D113" s="91">
        <f>D107+D108-D109-D110-D111-D112</f>
        <v>-14707.400000000009</v>
      </c>
      <c r="E113" s="91">
        <f>E107+E108-E109-E110-E111-E112</f>
        <v>8815</v>
      </c>
      <c r="F113" s="91">
        <f>F107+F108-F109-F110-F111-F112</f>
        <v>-14707.400000000009</v>
      </c>
      <c r="G113" s="91">
        <f t="shared" si="4"/>
        <v>-23522.400000000009</v>
      </c>
      <c r="H113" s="91">
        <f>F113/E113*100</f>
        <v>-166.84515031196833</v>
      </c>
      <c r="I113" s="47"/>
    </row>
    <row r="114" spans="1:9" s="5" customFormat="1" ht="12.95" customHeight="1" x14ac:dyDescent="0.2">
      <c r="A114" s="146" t="s">
        <v>86</v>
      </c>
      <c r="B114" s="146"/>
      <c r="C114" s="146"/>
      <c r="D114" s="146"/>
      <c r="E114" s="146"/>
      <c r="I114" s="52"/>
    </row>
    <row r="115" spans="1:9" s="5" customFormat="1" ht="12.95" customHeight="1" x14ac:dyDescent="0.2">
      <c r="A115" s="76" t="s">
        <v>87</v>
      </c>
      <c r="B115" s="8">
        <v>1400</v>
      </c>
      <c r="C115" s="82">
        <v>190705</v>
      </c>
      <c r="D115" s="82">
        <v>285718</v>
      </c>
      <c r="E115" s="82">
        <v>191330</v>
      </c>
      <c r="F115" s="82">
        <v>285718</v>
      </c>
      <c r="G115" s="82">
        <f>F115-E115</f>
        <v>94388</v>
      </c>
      <c r="H115" s="82">
        <f>F115/E115*100</f>
        <v>149.33256676945592</v>
      </c>
      <c r="I115" s="48"/>
    </row>
    <row r="116" spans="1:9" s="5" customFormat="1" ht="12.95" customHeight="1" x14ac:dyDescent="0.2">
      <c r="A116" s="76" t="s">
        <v>88</v>
      </c>
      <c r="B116" s="8">
        <v>1401</v>
      </c>
      <c r="C116" s="82">
        <v>38332</v>
      </c>
      <c r="D116" s="82">
        <v>27085.200000000001</v>
      </c>
      <c r="E116" s="82">
        <v>24985</v>
      </c>
      <c r="F116" s="82">
        <v>27085.200000000001</v>
      </c>
      <c r="G116" s="82">
        <f t="shared" ref="G116:G122" si="5">F116-E116</f>
        <v>2100.2000000000007</v>
      </c>
      <c r="H116" s="82">
        <f t="shared" ref="H116:H122" si="6">F116/E116*100</f>
        <v>108.40584350610368</v>
      </c>
      <c r="I116" s="48"/>
    </row>
    <row r="117" spans="1:9" s="5" customFormat="1" ht="12.95" customHeight="1" x14ac:dyDescent="0.2">
      <c r="A117" s="76" t="s">
        <v>89</v>
      </c>
      <c r="B117" s="8">
        <v>1402</v>
      </c>
      <c r="C117" s="82">
        <v>64637.5</v>
      </c>
      <c r="D117" s="82">
        <v>63648.3</v>
      </c>
      <c r="E117" s="82">
        <v>47630</v>
      </c>
      <c r="F117" s="82">
        <v>63648.3</v>
      </c>
      <c r="G117" s="82">
        <f t="shared" si="5"/>
        <v>16018.300000000003</v>
      </c>
      <c r="H117" s="82">
        <f t="shared" si="6"/>
        <v>133.63069494016378</v>
      </c>
      <c r="I117" s="48"/>
    </row>
    <row r="118" spans="1:9" s="5" customFormat="1" ht="12.95" customHeight="1" x14ac:dyDescent="0.2">
      <c r="A118" s="76" t="s">
        <v>90</v>
      </c>
      <c r="B118" s="8">
        <v>1410</v>
      </c>
      <c r="C118" s="82">
        <v>145699</v>
      </c>
      <c r="D118" s="82">
        <v>168776</v>
      </c>
      <c r="E118" s="82">
        <v>148090</v>
      </c>
      <c r="F118" s="82">
        <v>168776</v>
      </c>
      <c r="G118" s="82">
        <f t="shared" si="5"/>
        <v>20686</v>
      </c>
      <c r="H118" s="82">
        <f t="shared" si="6"/>
        <v>113.96853264906477</v>
      </c>
      <c r="I118" s="48"/>
    </row>
    <row r="119" spans="1:9" s="5" customFormat="1" ht="12.95" customHeight="1" x14ac:dyDescent="0.2">
      <c r="A119" s="76" t="s">
        <v>91</v>
      </c>
      <c r="B119" s="8">
        <v>1420</v>
      </c>
      <c r="C119" s="82">
        <v>38132</v>
      </c>
      <c r="D119" s="82">
        <v>36985</v>
      </c>
      <c r="E119" s="82">
        <v>32900</v>
      </c>
      <c r="F119" s="82">
        <v>36985</v>
      </c>
      <c r="G119" s="82">
        <f t="shared" si="5"/>
        <v>4085</v>
      </c>
      <c r="H119" s="82">
        <f t="shared" si="6"/>
        <v>112.41641337386019</v>
      </c>
      <c r="I119" s="48"/>
    </row>
    <row r="120" spans="1:9" s="5" customFormat="1" ht="12.95" customHeight="1" x14ac:dyDescent="0.2">
      <c r="A120" s="76" t="s">
        <v>92</v>
      </c>
      <c r="B120" s="8">
        <v>1430</v>
      </c>
      <c r="C120" s="82">
        <v>18188</v>
      </c>
      <c r="D120" s="82">
        <v>13757</v>
      </c>
      <c r="E120" s="82">
        <v>14680</v>
      </c>
      <c r="F120" s="82">
        <v>13757</v>
      </c>
      <c r="G120" s="82">
        <f t="shared" si="5"/>
        <v>-923</v>
      </c>
      <c r="H120" s="82">
        <f t="shared" si="6"/>
        <v>93.712534059945511</v>
      </c>
      <c r="I120" s="48"/>
    </row>
    <row r="121" spans="1:9" s="5" customFormat="1" ht="12.95" customHeight="1" x14ac:dyDescent="0.2">
      <c r="A121" s="76" t="s">
        <v>93</v>
      </c>
      <c r="B121" s="8">
        <v>1440</v>
      </c>
      <c r="C121" s="82">
        <v>582966</v>
      </c>
      <c r="D121" s="82">
        <v>487186</v>
      </c>
      <c r="E121" s="82">
        <v>623495</v>
      </c>
      <c r="F121" s="82">
        <v>487186</v>
      </c>
      <c r="G121" s="82">
        <f t="shared" si="5"/>
        <v>-136309</v>
      </c>
      <c r="H121" s="82">
        <f t="shared" si="6"/>
        <v>78.137916101973545</v>
      </c>
      <c r="I121" s="48"/>
    </row>
    <row r="122" spans="1:9" s="5" customFormat="1" ht="12" customHeight="1" x14ac:dyDescent="0.2">
      <c r="A122" s="78" t="s">
        <v>94</v>
      </c>
      <c r="B122" s="7">
        <v>1450</v>
      </c>
      <c r="C122" s="91">
        <f>SUM(C115,C118:C121)</f>
        <v>975690</v>
      </c>
      <c r="D122" s="91">
        <f>SUM(D115,D118:D121)</f>
        <v>992422</v>
      </c>
      <c r="E122" s="91">
        <f>SUM(E115,E118:E121)</f>
        <v>1010495</v>
      </c>
      <c r="F122" s="91">
        <f>SUM(F115,F118:F121)</f>
        <v>992422</v>
      </c>
      <c r="G122" s="91">
        <f t="shared" si="5"/>
        <v>-18073</v>
      </c>
      <c r="H122" s="91">
        <f t="shared" si="6"/>
        <v>98.21147061588627</v>
      </c>
      <c r="I122" s="47"/>
    </row>
    <row r="123" spans="1:9" s="5" customFormat="1" ht="9.75" customHeight="1" x14ac:dyDescent="0.2"/>
    <row r="124" spans="1:9" s="5" customFormat="1" ht="12.95" customHeight="1" x14ac:dyDescent="0.2">
      <c r="A124" s="85" t="s">
        <v>179</v>
      </c>
      <c r="B124" s="85"/>
      <c r="C124" s="85"/>
      <c r="D124" s="85"/>
      <c r="E124" s="85"/>
      <c r="F124" s="85"/>
      <c r="G124" s="85"/>
      <c r="H124" s="85"/>
    </row>
    <row r="125" spans="1:9" ht="14.25" customHeight="1" x14ac:dyDescent="0.2">
      <c r="A125" s="15" t="s">
        <v>592</v>
      </c>
      <c r="B125" s="85"/>
      <c r="C125" s="135"/>
      <c r="D125" s="135"/>
      <c r="E125" s="85"/>
      <c r="F125" s="136" t="s">
        <v>608</v>
      </c>
      <c r="G125" s="137"/>
      <c r="H125" s="137"/>
    </row>
    <row r="126" spans="1:9" ht="11.45" customHeight="1" x14ac:dyDescent="0.2">
      <c r="A126" s="93" t="s">
        <v>180</v>
      </c>
      <c r="B126" s="85"/>
      <c r="C126" s="116" t="s">
        <v>181</v>
      </c>
      <c r="D126" s="116"/>
      <c r="E126" s="85"/>
      <c r="F126" s="116" t="s">
        <v>182</v>
      </c>
      <c r="G126" s="116"/>
      <c r="H126" s="116"/>
    </row>
  </sheetData>
  <mergeCells count="13">
    <mergeCell ref="A6:I6"/>
    <mergeCell ref="A106:E106"/>
    <mergeCell ref="A114:E114"/>
    <mergeCell ref="C126:D126"/>
    <mergeCell ref="F126:H126"/>
    <mergeCell ref="C125:D125"/>
    <mergeCell ref="F125:H125"/>
    <mergeCell ref="I3:I4"/>
    <mergeCell ref="A1:H1"/>
    <mergeCell ref="A3:A4"/>
    <mergeCell ref="B3:B4"/>
    <mergeCell ref="C3:D3"/>
    <mergeCell ref="E3:H3"/>
  </mergeCells>
  <phoneticPr fontId="0" type="noConversion"/>
  <pageMargins left="0.23622047244094491" right="0.23622047244094491" top="0.35433070866141736" bottom="0.35433070866141736" header="0" footer="0"/>
  <pageSetup paperSize="9" scale="72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56"/>
  <sheetViews>
    <sheetView topLeftCell="A16" zoomScaleNormal="100" workbookViewId="0">
      <selection activeCell="E35" sqref="E35:E38"/>
    </sheetView>
  </sheetViews>
  <sheetFormatPr defaultColWidth="8.7109375" defaultRowHeight="11.45" customHeight="1" x14ac:dyDescent="0.2"/>
  <cols>
    <col min="1" max="1" width="61.5703125" style="5" customWidth="1"/>
    <col min="2" max="2" width="9.85546875" style="5" customWidth="1"/>
    <col min="3" max="3" width="12.5703125" style="5" customWidth="1"/>
    <col min="4" max="8" width="12.5703125" style="6" customWidth="1"/>
    <col min="9" max="9" width="8.7109375" style="25" hidden="1" customWidth="1"/>
    <col min="10" max="10" width="8.7109375" style="101" hidden="1" customWidth="1"/>
    <col min="11" max="11" width="10.85546875" style="25" hidden="1" customWidth="1"/>
    <col min="12" max="16384" width="8.7109375" style="11"/>
  </cols>
  <sheetData>
    <row r="1" spans="1:11" s="5" customFormat="1" ht="12.95" customHeight="1" x14ac:dyDescent="0.2">
      <c r="A1" s="116" t="s">
        <v>95</v>
      </c>
      <c r="B1" s="116"/>
      <c r="C1" s="116"/>
      <c r="D1" s="116"/>
      <c r="E1" s="116"/>
      <c r="F1" s="116"/>
      <c r="G1" s="116"/>
      <c r="H1" s="116"/>
      <c r="J1" s="6"/>
    </row>
    <row r="2" spans="1:11" s="5" customFormat="1" ht="12.95" customHeight="1" x14ac:dyDescent="0.2">
      <c r="J2" s="6"/>
    </row>
    <row r="3" spans="1:11" s="5" customFormat="1" ht="26.1" customHeight="1" x14ac:dyDescent="0.2">
      <c r="A3" s="145" t="s">
        <v>40</v>
      </c>
      <c r="B3" s="145" t="s">
        <v>41</v>
      </c>
      <c r="C3" s="145" t="s">
        <v>42</v>
      </c>
      <c r="D3" s="145"/>
      <c r="E3" s="145" t="str">
        <f>'Осн. фін. пок.'!E27:H27</f>
        <v>Звітний період (2019 р.)</v>
      </c>
      <c r="F3" s="145"/>
      <c r="G3" s="145"/>
      <c r="H3" s="145"/>
      <c r="J3" s="97" t="s">
        <v>596</v>
      </c>
    </row>
    <row r="4" spans="1:11" s="5" customFormat="1" ht="26.1" customHeight="1" x14ac:dyDescent="0.2">
      <c r="A4" s="145"/>
      <c r="B4" s="145"/>
      <c r="C4" s="79" t="s">
        <v>43</v>
      </c>
      <c r="D4" s="79" t="s">
        <v>44</v>
      </c>
      <c r="E4" s="79" t="s">
        <v>45</v>
      </c>
      <c r="F4" s="79" t="s">
        <v>46</v>
      </c>
      <c r="G4" s="79" t="s">
        <v>47</v>
      </c>
      <c r="H4" s="79" t="s">
        <v>48</v>
      </c>
      <c r="J4" s="6"/>
    </row>
    <row r="5" spans="1:11" s="5" customFormat="1" ht="12.95" customHeight="1" x14ac:dyDescent="0.2">
      <c r="A5" s="84">
        <v>1</v>
      </c>
      <c r="B5" s="84">
        <v>2</v>
      </c>
      <c r="C5" s="84">
        <v>3</v>
      </c>
      <c r="D5" s="84">
        <v>4</v>
      </c>
      <c r="E5" s="84">
        <v>5</v>
      </c>
      <c r="F5" s="84">
        <v>6</v>
      </c>
      <c r="G5" s="84">
        <v>7</v>
      </c>
      <c r="H5" s="84">
        <v>8</v>
      </c>
      <c r="J5" s="6"/>
    </row>
    <row r="6" spans="1:11" s="5" customFormat="1" ht="12.95" customHeight="1" x14ac:dyDescent="0.2">
      <c r="A6" s="146" t="s">
        <v>96</v>
      </c>
      <c r="B6" s="146"/>
      <c r="C6" s="146"/>
      <c r="D6" s="146"/>
      <c r="E6" s="146"/>
      <c r="F6" s="146"/>
      <c r="G6" s="146"/>
      <c r="H6" s="146"/>
      <c r="J6" s="6"/>
    </row>
    <row r="7" spans="1:11" s="5" customFormat="1" ht="12.95" customHeight="1" x14ac:dyDescent="0.2">
      <c r="A7" s="76" t="s">
        <v>80</v>
      </c>
      <c r="B7" s="84">
        <v>1200</v>
      </c>
      <c r="C7" s="82">
        <f>'I. Формування фін. рез.'!C100</f>
        <v>7228</v>
      </c>
      <c r="D7" s="82">
        <f>'I. Формування фін. рез.'!D100</f>
        <v>-8635</v>
      </c>
      <c r="E7" s="82">
        <f>'I. Формування фін. рез.'!E100</f>
        <v>43960</v>
      </c>
      <c r="F7" s="82">
        <f>'I. Формування фін. рез.'!F100</f>
        <v>-8635</v>
      </c>
      <c r="G7" s="82">
        <f>F7-E7</f>
        <v>-52595</v>
      </c>
      <c r="H7" s="82">
        <f>F7/E7*100</f>
        <v>-19.642857142857142</v>
      </c>
      <c r="I7" s="58">
        <f>D7-J7</f>
        <v>1692.0000000000018</v>
      </c>
      <c r="J7" s="6">
        <v>-10327.000000000002</v>
      </c>
      <c r="K7" s="58">
        <f>F7-I7</f>
        <v>-10327.000000000002</v>
      </c>
    </row>
    <row r="8" spans="1:11" s="5" customFormat="1" ht="26.1" customHeight="1" x14ac:dyDescent="0.2">
      <c r="A8" s="76" t="s">
        <v>97</v>
      </c>
      <c r="B8" s="84">
        <v>2000</v>
      </c>
      <c r="C8" s="82">
        <v>-734565</v>
      </c>
      <c r="D8" s="82">
        <v>-744876</v>
      </c>
      <c r="E8" s="82">
        <v>-744876</v>
      </c>
      <c r="F8" s="82">
        <v>-744876</v>
      </c>
      <c r="G8" s="82">
        <f>F8-E8</f>
        <v>0</v>
      </c>
      <c r="H8" s="82">
        <f>F8/E8*100</f>
        <v>100</v>
      </c>
      <c r="I8" s="58">
        <f>D8-J8</f>
        <v>0</v>
      </c>
      <c r="J8" s="98">
        <v>-744876</v>
      </c>
      <c r="K8" s="58">
        <f>F8-I8</f>
        <v>-744876</v>
      </c>
    </row>
    <row r="9" spans="1:11" s="5" customFormat="1" ht="26.1" customHeight="1" x14ac:dyDescent="0.2">
      <c r="A9" s="76" t="s">
        <v>98</v>
      </c>
      <c r="B9" s="84">
        <v>2010</v>
      </c>
      <c r="C9" s="82">
        <v>-1124</v>
      </c>
      <c r="D9" s="82">
        <f>D10+D11</f>
        <v>-3614</v>
      </c>
      <c r="E9" s="82">
        <v>-5420</v>
      </c>
      <c r="F9" s="82">
        <f>F10+F11</f>
        <v>-3614</v>
      </c>
      <c r="G9" s="82">
        <f t="shared" ref="G9:G21" si="0">F9-E9</f>
        <v>1806</v>
      </c>
      <c r="H9" s="82">
        <v>0</v>
      </c>
      <c r="I9" s="58">
        <f t="shared" ref="I9:I52" si="1">D9-J9</f>
        <v>0</v>
      </c>
      <c r="J9" s="98">
        <v>-3614</v>
      </c>
      <c r="K9" s="58">
        <f t="shared" ref="K9:K52" si="2">F9-I9</f>
        <v>-3614</v>
      </c>
    </row>
    <row r="10" spans="1:11" s="5" customFormat="1" ht="26.1" customHeight="1" x14ac:dyDescent="0.2">
      <c r="A10" s="76" t="s">
        <v>99</v>
      </c>
      <c r="B10" s="84">
        <v>2011</v>
      </c>
      <c r="C10" s="82" t="s">
        <v>51</v>
      </c>
      <c r="D10" s="82" t="s">
        <v>51</v>
      </c>
      <c r="E10" s="82" t="s">
        <v>51</v>
      </c>
      <c r="F10" s="82" t="s">
        <v>51</v>
      </c>
      <c r="G10" s="82">
        <f t="shared" si="0"/>
        <v>0</v>
      </c>
      <c r="H10" s="82">
        <v>0</v>
      </c>
      <c r="I10" s="58">
        <f t="shared" si="1"/>
        <v>0</v>
      </c>
      <c r="J10" s="98" t="s">
        <v>51</v>
      </c>
      <c r="K10" s="58">
        <f t="shared" si="2"/>
        <v>0</v>
      </c>
    </row>
    <row r="11" spans="1:11" s="5" customFormat="1" ht="26.1" customHeight="1" x14ac:dyDescent="0.2">
      <c r="A11" s="75" t="s">
        <v>512</v>
      </c>
      <c r="B11" s="84">
        <v>2012</v>
      </c>
      <c r="C11" s="82">
        <v>-1124</v>
      </c>
      <c r="D11" s="82">
        <v>-3614</v>
      </c>
      <c r="E11" s="82">
        <v>-5420</v>
      </c>
      <c r="F11" s="82">
        <v>-3614</v>
      </c>
      <c r="G11" s="82">
        <f t="shared" si="0"/>
        <v>1806</v>
      </c>
      <c r="H11" s="82">
        <v>0</v>
      </c>
      <c r="I11" s="58">
        <f t="shared" si="1"/>
        <v>0</v>
      </c>
      <c r="J11" s="98">
        <v>-3614</v>
      </c>
      <c r="K11" s="58">
        <f t="shared" si="2"/>
        <v>-3614</v>
      </c>
    </row>
    <row r="12" spans="1:11" s="5" customFormat="1" ht="12.95" customHeight="1" x14ac:dyDescent="0.2">
      <c r="A12" s="76" t="s">
        <v>101</v>
      </c>
      <c r="B12" s="79" t="s">
        <v>102</v>
      </c>
      <c r="C12" s="82">
        <v>0</v>
      </c>
      <c r="D12" s="82">
        <v>-3614</v>
      </c>
      <c r="E12" s="82">
        <v>-5420</v>
      </c>
      <c r="F12" s="82">
        <v>-3614</v>
      </c>
      <c r="G12" s="82">
        <f t="shared" si="0"/>
        <v>1806</v>
      </c>
      <c r="H12" s="82">
        <v>0</v>
      </c>
      <c r="I12" s="58">
        <f t="shared" si="1"/>
        <v>0</v>
      </c>
      <c r="J12" s="98">
        <v>-3614</v>
      </c>
      <c r="K12" s="58">
        <f t="shared" si="2"/>
        <v>-3614</v>
      </c>
    </row>
    <row r="13" spans="1:11" s="5" customFormat="1" ht="12.95" customHeight="1" x14ac:dyDescent="0.2">
      <c r="A13" s="76" t="s">
        <v>103</v>
      </c>
      <c r="B13" s="84">
        <v>2020</v>
      </c>
      <c r="C13" s="82" t="s">
        <v>51</v>
      </c>
      <c r="D13" s="82" t="s">
        <v>51</v>
      </c>
      <c r="E13" s="82" t="s">
        <v>51</v>
      </c>
      <c r="F13" s="82" t="s">
        <v>51</v>
      </c>
      <c r="G13" s="82">
        <f t="shared" si="0"/>
        <v>0</v>
      </c>
      <c r="H13" s="82">
        <v>0</v>
      </c>
      <c r="I13" s="58">
        <f t="shared" si="1"/>
        <v>0</v>
      </c>
      <c r="J13" s="98" t="s">
        <v>51</v>
      </c>
      <c r="K13" s="58">
        <f t="shared" si="2"/>
        <v>0</v>
      </c>
    </row>
    <row r="14" spans="1:11" s="5" customFormat="1" ht="12.95" customHeight="1" x14ac:dyDescent="0.2">
      <c r="A14" s="76" t="s">
        <v>104</v>
      </c>
      <c r="B14" s="84">
        <v>2030</v>
      </c>
      <c r="C14" s="82" t="s">
        <v>51</v>
      </c>
      <c r="D14" s="82" t="s">
        <v>51</v>
      </c>
      <c r="E14" s="82">
        <v>0</v>
      </c>
      <c r="F14" s="82" t="s">
        <v>51</v>
      </c>
      <c r="G14" s="82">
        <f t="shared" si="0"/>
        <v>0</v>
      </c>
      <c r="H14" s="82">
        <v>0</v>
      </c>
      <c r="I14" s="58">
        <f t="shared" si="1"/>
        <v>0</v>
      </c>
      <c r="J14" s="98" t="s">
        <v>51</v>
      </c>
      <c r="K14" s="58">
        <f t="shared" si="2"/>
        <v>0</v>
      </c>
    </row>
    <row r="15" spans="1:11" s="5" customFormat="1" ht="12.95" customHeight="1" x14ac:dyDescent="0.2">
      <c r="A15" s="76" t="s">
        <v>260</v>
      </c>
      <c r="B15" s="84">
        <v>2031</v>
      </c>
      <c r="C15" s="82" t="s">
        <v>51</v>
      </c>
      <c r="D15" s="82" t="s">
        <v>51</v>
      </c>
      <c r="E15" s="82">
        <v>0</v>
      </c>
      <c r="F15" s="82" t="s">
        <v>51</v>
      </c>
      <c r="G15" s="82">
        <f t="shared" si="0"/>
        <v>0</v>
      </c>
      <c r="H15" s="82">
        <v>0</v>
      </c>
      <c r="I15" s="58">
        <f t="shared" si="1"/>
        <v>0</v>
      </c>
      <c r="J15" s="98" t="s">
        <v>51</v>
      </c>
      <c r="K15" s="58">
        <f t="shared" si="2"/>
        <v>0</v>
      </c>
    </row>
    <row r="16" spans="1:11" s="5" customFormat="1" ht="12.95" customHeight="1" x14ac:dyDescent="0.2">
      <c r="A16" s="76" t="s">
        <v>105</v>
      </c>
      <c r="B16" s="84">
        <v>2040</v>
      </c>
      <c r="C16" s="82" t="s">
        <v>51</v>
      </c>
      <c r="D16" s="82" t="s">
        <v>51</v>
      </c>
      <c r="E16" s="82" t="s">
        <v>51</v>
      </c>
      <c r="F16" s="82" t="s">
        <v>51</v>
      </c>
      <c r="G16" s="82">
        <f t="shared" si="0"/>
        <v>0</v>
      </c>
      <c r="H16" s="82">
        <v>0</v>
      </c>
      <c r="I16" s="58">
        <f t="shared" si="1"/>
        <v>0</v>
      </c>
      <c r="J16" s="98" t="s">
        <v>51</v>
      </c>
      <c r="K16" s="58">
        <f t="shared" si="2"/>
        <v>0</v>
      </c>
    </row>
    <row r="17" spans="1:11" s="5" customFormat="1" ht="12.95" customHeight="1" x14ac:dyDescent="0.2">
      <c r="A17" s="76" t="s">
        <v>261</v>
      </c>
      <c r="B17" s="84">
        <v>2050</v>
      </c>
      <c r="C17" s="82" t="s">
        <v>51</v>
      </c>
      <c r="D17" s="82" t="s">
        <v>51</v>
      </c>
      <c r="E17" s="82" t="s">
        <v>51</v>
      </c>
      <c r="F17" s="82" t="s">
        <v>51</v>
      </c>
      <c r="G17" s="82">
        <f t="shared" si="0"/>
        <v>0</v>
      </c>
      <c r="H17" s="82">
        <v>0</v>
      </c>
      <c r="I17" s="58">
        <f t="shared" si="1"/>
        <v>0</v>
      </c>
      <c r="J17" s="98" t="s">
        <v>51</v>
      </c>
      <c r="K17" s="58">
        <f t="shared" si="2"/>
        <v>0</v>
      </c>
    </row>
    <row r="18" spans="1:11" s="5" customFormat="1" ht="12.95" customHeight="1" x14ac:dyDescent="0.2">
      <c r="A18" s="76" t="s">
        <v>262</v>
      </c>
      <c r="B18" s="84">
        <v>2060</v>
      </c>
      <c r="C18" s="82">
        <f>SUM(C19:C20)</f>
        <v>-16415</v>
      </c>
      <c r="D18" s="82">
        <f>SUM(D19:D20)</f>
        <v>-13011</v>
      </c>
      <c r="E18" s="82">
        <f>SUM(E19:E20)</f>
        <v>0</v>
      </c>
      <c r="F18" s="82">
        <f>SUM(F19:F20)</f>
        <v>-13011</v>
      </c>
      <c r="G18" s="82">
        <f t="shared" si="0"/>
        <v>-13011</v>
      </c>
      <c r="H18" s="82">
        <v>0</v>
      </c>
      <c r="I18" s="58">
        <f t="shared" si="1"/>
        <v>-20</v>
      </c>
      <c r="J18" s="98">
        <v>-12991</v>
      </c>
      <c r="K18" s="58">
        <f t="shared" si="2"/>
        <v>-12991</v>
      </c>
    </row>
    <row r="19" spans="1:11" s="5" customFormat="1" ht="12.95" customHeight="1" x14ac:dyDescent="0.2">
      <c r="A19" s="77" t="s">
        <v>263</v>
      </c>
      <c r="B19" s="79" t="s">
        <v>488</v>
      </c>
      <c r="C19" s="82" t="s">
        <v>51</v>
      </c>
      <c r="D19" s="82" t="s">
        <v>51</v>
      </c>
      <c r="E19" s="82" t="s">
        <v>51</v>
      </c>
      <c r="F19" s="82" t="s">
        <v>51</v>
      </c>
      <c r="G19" s="82">
        <f t="shared" si="0"/>
        <v>0</v>
      </c>
      <c r="H19" s="82">
        <v>0</v>
      </c>
      <c r="I19" s="58">
        <f t="shared" si="1"/>
        <v>0</v>
      </c>
      <c r="J19" s="98" t="s">
        <v>51</v>
      </c>
      <c r="K19" s="58">
        <f t="shared" si="2"/>
        <v>0</v>
      </c>
    </row>
    <row r="20" spans="1:11" s="5" customFormat="1" ht="12.95" customHeight="1" x14ac:dyDescent="0.2">
      <c r="A20" s="77" t="s">
        <v>573</v>
      </c>
      <c r="B20" s="86" t="s">
        <v>494</v>
      </c>
      <c r="C20" s="82">
        <v>-16415</v>
      </c>
      <c r="D20" s="82">
        <f>-20-12991</f>
        <v>-13011</v>
      </c>
      <c r="E20" s="82" t="s">
        <v>51</v>
      </c>
      <c r="F20" s="82">
        <f>-20-12991</f>
        <v>-13011</v>
      </c>
      <c r="G20" s="82">
        <f t="shared" si="0"/>
        <v>-13011</v>
      </c>
      <c r="H20" s="82">
        <v>0</v>
      </c>
      <c r="I20" s="58">
        <f t="shared" si="1"/>
        <v>-20</v>
      </c>
      <c r="J20" s="98">
        <v>-12991</v>
      </c>
      <c r="K20" s="58">
        <f t="shared" si="2"/>
        <v>-12991</v>
      </c>
    </row>
    <row r="21" spans="1:11" s="5" customFormat="1" ht="26.1" customHeight="1" x14ac:dyDescent="0.2">
      <c r="A21" s="76" t="s">
        <v>108</v>
      </c>
      <c r="B21" s="84">
        <v>2070</v>
      </c>
      <c r="C21" s="82">
        <f>SUM(C7:C9,C13,C14,C16,C17,C18)</f>
        <v>-744876</v>
      </c>
      <c r="D21" s="82">
        <f>SUM(D7:D9,D13,D14,D16,D17,D18)</f>
        <v>-770136</v>
      </c>
      <c r="E21" s="82">
        <f>SUM(E7:E9,E13,E14,E16,E17,E18)</f>
        <v>-706336</v>
      </c>
      <c r="F21" s="82">
        <f>SUM(F7:F9,F13,F14,F16,F17,F18)</f>
        <v>-770136</v>
      </c>
      <c r="G21" s="82">
        <f t="shared" si="0"/>
        <v>-63800</v>
      </c>
      <c r="H21" s="82">
        <f>F21/E21*100</f>
        <v>109.03252842839667</v>
      </c>
      <c r="I21" s="58">
        <f>D21-J21</f>
        <v>1672</v>
      </c>
      <c r="J21" s="98">
        <v>-771808</v>
      </c>
      <c r="K21" s="58">
        <f t="shared" si="2"/>
        <v>-771808</v>
      </c>
    </row>
    <row r="22" spans="1:11" s="5" customFormat="1" ht="12.95" customHeight="1" x14ac:dyDescent="0.2">
      <c r="A22" s="146" t="s">
        <v>109</v>
      </c>
      <c r="B22" s="146"/>
      <c r="C22" s="146"/>
      <c r="D22" s="146"/>
      <c r="E22" s="146"/>
      <c r="F22" s="146"/>
      <c r="G22" s="146"/>
      <c r="H22" s="146"/>
      <c r="I22" s="58">
        <f t="shared" si="1"/>
        <v>0</v>
      </c>
      <c r="J22" s="6"/>
      <c r="K22" s="58">
        <f t="shared" si="2"/>
        <v>0</v>
      </c>
    </row>
    <row r="23" spans="1:11" s="5" customFormat="1" ht="26.1" customHeight="1" x14ac:dyDescent="0.2">
      <c r="A23" s="78" t="s">
        <v>110</v>
      </c>
      <c r="B23" s="12">
        <v>2110</v>
      </c>
      <c r="C23" s="91">
        <f>SUM(C24:C32)</f>
        <v>-3890.7999999999988</v>
      </c>
      <c r="D23" s="91">
        <f>SUM(D24:D32)</f>
        <v>-5113.6000000000004</v>
      </c>
      <c r="E23" s="91">
        <f>SUM(E24:E32)</f>
        <v>3186</v>
      </c>
      <c r="F23" s="91">
        <f>SUM(F24:F32)</f>
        <v>-5113.6000000000004</v>
      </c>
      <c r="G23" s="91">
        <f>F23-E23</f>
        <v>-8299.6</v>
      </c>
      <c r="H23" s="91">
        <f>F23/E23*100</f>
        <v>-160.50219711236662</v>
      </c>
      <c r="I23" s="58">
        <f t="shared" si="1"/>
        <v>3227.7000000000025</v>
      </c>
      <c r="J23" s="99">
        <v>-8341.3000000000029</v>
      </c>
      <c r="K23" s="58">
        <f t="shared" si="2"/>
        <v>-8341.3000000000029</v>
      </c>
    </row>
    <row r="24" spans="1:11" s="5" customFormat="1" ht="12.95" customHeight="1" x14ac:dyDescent="0.2">
      <c r="A24" s="76" t="s">
        <v>111</v>
      </c>
      <c r="B24" s="84">
        <v>2111</v>
      </c>
      <c r="C24" s="82">
        <v>212.7</v>
      </c>
      <c r="D24" s="82">
        <v>650.29999999999995</v>
      </c>
      <c r="E24" s="82">
        <v>1300</v>
      </c>
      <c r="F24" s="82">
        <v>650.29999999999995</v>
      </c>
      <c r="G24" s="82">
        <f>F24-E24</f>
        <v>-649.70000000000005</v>
      </c>
      <c r="H24" s="111">
        <f t="shared" ref="H24" si="3">F24/E24*100</f>
        <v>50.023076923076914</v>
      </c>
      <c r="I24" s="58">
        <f t="shared" si="1"/>
        <v>0</v>
      </c>
      <c r="J24" s="98">
        <v>650.29999999999995</v>
      </c>
      <c r="K24" s="58">
        <f t="shared" si="2"/>
        <v>650.29999999999995</v>
      </c>
    </row>
    <row r="25" spans="1:11" s="5" customFormat="1" ht="12.95" customHeight="1" x14ac:dyDescent="0.2">
      <c r="A25" s="76" t="s">
        <v>112</v>
      </c>
      <c r="B25" s="84">
        <v>2112</v>
      </c>
      <c r="C25" s="82">
        <v>0</v>
      </c>
      <c r="D25" s="82">
        <v>0</v>
      </c>
      <c r="E25" s="82">
        <v>0</v>
      </c>
      <c r="F25" s="82">
        <v>0</v>
      </c>
      <c r="G25" s="82">
        <f t="shared" ref="G25:H52" si="4">F25-E25</f>
        <v>0</v>
      </c>
      <c r="H25" s="111">
        <f t="shared" si="4"/>
        <v>0</v>
      </c>
      <c r="I25" s="58">
        <f t="shared" si="1"/>
        <v>0</v>
      </c>
      <c r="J25" s="98">
        <v>0</v>
      </c>
      <c r="K25" s="58">
        <f t="shared" si="2"/>
        <v>0</v>
      </c>
    </row>
    <row r="26" spans="1:11" s="5" customFormat="1" ht="20.25" customHeight="1" x14ac:dyDescent="0.2">
      <c r="A26" s="76" t="s">
        <v>113</v>
      </c>
      <c r="B26" s="84">
        <v>2113</v>
      </c>
      <c r="C26" s="82">
        <v>-8860.2000000000007</v>
      </c>
      <c r="D26" s="82">
        <v>-15981.9</v>
      </c>
      <c r="E26" s="82">
        <v>-7000</v>
      </c>
      <c r="F26" s="82">
        <v>-15981.9</v>
      </c>
      <c r="G26" s="82">
        <f t="shared" si="4"/>
        <v>-8981.9</v>
      </c>
      <c r="H26" s="82">
        <f>F26/E26*100</f>
        <v>228.31285714285713</v>
      </c>
      <c r="I26" s="58">
        <f>D26-J26</f>
        <v>969.50000000000182</v>
      </c>
      <c r="J26" s="98">
        <v>-16951.400000000001</v>
      </c>
      <c r="K26" s="58">
        <f t="shared" si="2"/>
        <v>-16951.400000000001</v>
      </c>
    </row>
    <row r="27" spans="1:11" s="5" customFormat="1" ht="12.95" customHeight="1" x14ac:dyDescent="0.2">
      <c r="A27" s="76" t="s">
        <v>114</v>
      </c>
      <c r="B27" s="84">
        <v>2114</v>
      </c>
      <c r="C27" s="82">
        <v>234.6</v>
      </c>
      <c r="D27" s="82">
        <v>218</v>
      </c>
      <c r="E27" s="82">
        <v>0</v>
      </c>
      <c r="F27" s="82">
        <v>218</v>
      </c>
      <c r="G27" s="82">
        <f t="shared" si="4"/>
        <v>218</v>
      </c>
      <c r="H27" s="82">
        <v>0</v>
      </c>
      <c r="I27" s="58">
        <f t="shared" si="1"/>
        <v>55.199999999999989</v>
      </c>
      <c r="J27" s="98">
        <v>162.80000000000001</v>
      </c>
      <c r="K27" s="58">
        <f t="shared" si="2"/>
        <v>162.80000000000001</v>
      </c>
    </row>
    <row r="28" spans="1:11" s="5" customFormat="1" ht="26.1" customHeight="1" x14ac:dyDescent="0.2">
      <c r="A28" s="76" t="s">
        <v>115</v>
      </c>
      <c r="B28" s="84">
        <v>2115</v>
      </c>
      <c r="C28" s="82" t="s">
        <v>51</v>
      </c>
      <c r="D28" s="82" t="s">
        <v>51</v>
      </c>
      <c r="E28" s="82" t="s">
        <v>51</v>
      </c>
      <c r="F28" s="82" t="s">
        <v>51</v>
      </c>
      <c r="G28" s="82">
        <f t="shared" si="4"/>
        <v>0</v>
      </c>
      <c r="H28" s="82">
        <v>0</v>
      </c>
      <c r="I28" s="58">
        <f t="shared" si="1"/>
        <v>0</v>
      </c>
      <c r="J28" s="98" t="s">
        <v>51</v>
      </c>
      <c r="K28" s="58">
        <f t="shared" si="2"/>
        <v>0</v>
      </c>
    </row>
    <row r="29" spans="1:11" s="5" customFormat="1" ht="12.95" customHeight="1" x14ac:dyDescent="0.2">
      <c r="A29" s="76" t="s">
        <v>116</v>
      </c>
      <c r="B29" s="84">
        <v>2116</v>
      </c>
      <c r="C29" s="82" t="s">
        <v>51</v>
      </c>
      <c r="D29" s="82" t="s">
        <v>51</v>
      </c>
      <c r="E29" s="82" t="s">
        <v>51</v>
      </c>
      <c r="F29" s="82" t="s">
        <v>51</v>
      </c>
      <c r="G29" s="82">
        <f t="shared" si="4"/>
        <v>0</v>
      </c>
      <c r="H29" s="82">
        <v>0</v>
      </c>
      <c r="I29" s="58">
        <f t="shared" si="1"/>
        <v>0</v>
      </c>
      <c r="J29" s="98" t="s">
        <v>51</v>
      </c>
      <c r="K29" s="58">
        <f t="shared" si="2"/>
        <v>0</v>
      </c>
    </row>
    <row r="30" spans="1:11" s="5" customFormat="1" ht="12.95" customHeight="1" x14ac:dyDescent="0.2">
      <c r="A30" s="76" t="s">
        <v>117</v>
      </c>
      <c r="B30" s="84">
        <v>2117</v>
      </c>
      <c r="C30" s="82" t="s">
        <v>51</v>
      </c>
      <c r="D30" s="82" t="s">
        <v>51</v>
      </c>
      <c r="E30" s="82" t="s">
        <v>51</v>
      </c>
      <c r="F30" s="82" t="s">
        <v>51</v>
      </c>
      <c r="G30" s="82">
        <f t="shared" si="4"/>
        <v>0</v>
      </c>
      <c r="H30" s="82">
        <v>0</v>
      </c>
      <c r="I30" s="58">
        <f t="shared" si="1"/>
        <v>0</v>
      </c>
      <c r="J30" s="98" t="s">
        <v>51</v>
      </c>
      <c r="K30" s="58">
        <f t="shared" si="2"/>
        <v>0</v>
      </c>
    </row>
    <row r="31" spans="1:11" s="5" customFormat="1" ht="12.95" customHeight="1" x14ac:dyDescent="0.2">
      <c r="A31" s="76" t="s">
        <v>264</v>
      </c>
      <c r="B31" s="84">
        <v>2118</v>
      </c>
      <c r="C31" s="82">
        <v>6454.6</v>
      </c>
      <c r="D31" s="82">
        <v>7509.4</v>
      </c>
      <c r="E31" s="82">
        <v>6664</v>
      </c>
      <c r="F31" s="82">
        <v>7509.4</v>
      </c>
      <c r="G31" s="82">
        <f t="shared" si="4"/>
        <v>845.39999999999964</v>
      </c>
      <c r="H31" s="82">
        <f t="shared" ref="H31:H36" si="5">F31/E31*100</f>
        <v>112.68607442977189</v>
      </c>
      <c r="I31" s="58">
        <f t="shared" si="1"/>
        <v>1693.3999999999996</v>
      </c>
      <c r="J31" s="98">
        <v>5816</v>
      </c>
      <c r="K31" s="58">
        <f t="shared" si="2"/>
        <v>5816</v>
      </c>
    </row>
    <row r="32" spans="1:11" s="5" customFormat="1" ht="12.95" customHeight="1" x14ac:dyDescent="0.2">
      <c r="A32" s="76" t="s">
        <v>265</v>
      </c>
      <c r="B32" s="84">
        <v>2119</v>
      </c>
      <c r="C32" s="82">
        <f>SUM(C33:C33)</f>
        <v>-1932.4999999999995</v>
      </c>
      <c r="D32" s="82">
        <f>SUM(D33:D33)</f>
        <v>2490.6</v>
      </c>
      <c r="E32" s="82">
        <v>2222</v>
      </c>
      <c r="F32" s="82">
        <f>SUM(F33:F33)</f>
        <v>2490.6</v>
      </c>
      <c r="G32" s="82">
        <f t="shared" si="4"/>
        <v>268.59999999999991</v>
      </c>
      <c r="H32" s="82">
        <f t="shared" si="5"/>
        <v>112.08820882088209</v>
      </c>
      <c r="I32" s="58">
        <f t="shared" si="1"/>
        <v>509.59999999999991</v>
      </c>
      <c r="J32" s="98">
        <v>1981</v>
      </c>
      <c r="K32" s="58">
        <f t="shared" si="2"/>
        <v>1981</v>
      </c>
    </row>
    <row r="33" spans="1:11" s="5" customFormat="1" ht="12.95" customHeight="1" x14ac:dyDescent="0.2">
      <c r="A33" s="77" t="s">
        <v>479</v>
      </c>
      <c r="B33" s="79" t="s">
        <v>480</v>
      </c>
      <c r="C33" s="82">
        <f>-4101.9+2169.4</f>
        <v>-1932.4999999999995</v>
      </c>
      <c r="D33" s="82">
        <v>2490.6</v>
      </c>
      <c r="E33" s="82">
        <v>2222</v>
      </c>
      <c r="F33" s="82">
        <v>2490.6</v>
      </c>
      <c r="G33" s="82">
        <f t="shared" si="4"/>
        <v>268.59999999999991</v>
      </c>
      <c r="H33" s="82">
        <f t="shared" si="5"/>
        <v>112.08820882088209</v>
      </c>
      <c r="I33" s="58">
        <f t="shared" si="1"/>
        <v>509.59999999999991</v>
      </c>
      <c r="J33" s="98">
        <v>1981</v>
      </c>
      <c r="K33" s="58">
        <f t="shared" si="2"/>
        <v>1981</v>
      </c>
    </row>
    <row r="34" spans="1:11" s="5" customFormat="1" ht="26.1" customHeight="1" x14ac:dyDescent="0.2">
      <c r="A34" s="78" t="s">
        <v>266</v>
      </c>
      <c r="B34" s="12">
        <v>2120</v>
      </c>
      <c r="C34" s="91">
        <f>SUM(C35:C38)</f>
        <v>33038.800000000003</v>
      </c>
      <c r="D34" s="91">
        <f>SUM(D35:D38)</f>
        <v>37398.6</v>
      </c>
      <c r="E34" s="91">
        <f>SUM(E35:E38)</f>
        <v>29392</v>
      </c>
      <c r="F34" s="91">
        <f>SUM(F35:F38)</f>
        <v>37398.6</v>
      </c>
      <c r="G34" s="91">
        <f t="shared" si="4"/>
        <v>8006.5999999999985</v>
      </c>
      <c r="H34" s="91">
        <f t="shared" si="5"/>
        <v>127.24074578116493</v>
      </c>
      <c r="I34" s="58">
        <f t="shared" si="1"/>
        <v>8884</v>
      </c>
      <c r="J34" s="99">
        <v>28514.6</v>
      </c>
      <c r="K34" s="58">
        <f t="shared" si="2"/>
        <v>28514.6</v>
      </c>
    </row>
    <row r="35" spans="1:11" s="5" customFormat="1" ht="12.95" customHeight="1" x14ac:dyDescent="0.2">
      <c r="A35" s="76" t="s">
        <v>264</v>
      </c>
      <c r="B35" s="84">
        <v>2121</v>
      </c>
      <c r="C35" s="82">
        <v>19363.900000000001</v>
      </c>
      <c r="D35" s="82">
        <f>30037.6-7509.4</f>
        <v>22528.199999999997</v>
      </c>
      <c r="E35" s="82">
        <v>19992</v>
      </c>
      <c r="F35" s="82">
        <f>30037.6-7509.4</f>
        <v>22528.199999999997</v>
      </c>
      <c r="G35" s="82">
        <f t="shared" si="4"/>
        <v>2536.1999999999971</v>
      </c>
      <c r="H35" s="82">
        <f t="shared" si="5"/>
        <v>112.68607442977189</v>
      </c>
      <c r="I35" s="58">
        <f t="shared" si="1"/>
        <v>5080.1999999999971</v>
      </c>
      <c r="J35" s="98">
        <v>17448</v>
      </c>
      <c r="K35" s="58">
        <f t="shared" si="2"/>
        <v>17448</v>
      </c>
    </row>
    <row r="36" spans="1:11" s="5" customFormat="1" ht="12.95" customHeight="1" x14ac:dyDescent="0.2">
      <c r="A36" s="76" t="s">
        <v>267</v>
      </c>
      <c r="B36" s="84">
        <v>2122</v>
      </c>
      <c r="C36" s="82">
        <v>10662.5</v>
      </c>
      <c r="D36" s="82">
        <v>11540</v>
      </c>
      <c r="E36" s="82">
        <v>6750</v>
      </c>
      <c r="F36" s="82">
        <v>11540</v>
      </c>
      <c r="G36" s="82">
        <f t="shared" si="4"/>
        <v>4790</v>
      </c>
      <c r="H36" s="82">
        <f t="shared" si="5"/>
        <v>170.96296296296296</v>
      </c>
      <c r="I36" s="58">
        <f t="shared" si="1"/>
        <v>2969.7000000000007</v>
      </c>
      <c r="J36" s="98">
        <v>8570.2999999999993</v>
      </c>
      <c r="K36" s="58">
        <f t="shared" si="2"/>
        <v>8570.2999999999993</v>
      </c>
    </row>
    <row r="37" spans="1:11" s="5" customFormat="1" ht="12.95" customHeight="1" x14ac:dyDescent="0.2">
      <c r="A37" s="76" t="s">
        <v>268</v>
      </c>
      <c r="B37" s="84">
        <v>2123</v>
      </c>
      <c r="C37" s="82" t="s">
        <v>51</v>
      </c>
      <c r="D37" s="82" t="s">
        <v>51</v>
      </c>
      <c r="E37" s="82" t="s">
        <v>51</v>
      </c>
      <c r="F37" s="82" t="s">
        <v>51</v>
      </c>
      <c r="G37" s="82">
        <f t="shared" si="4"/>
        <v>0</v>
      </c>
      <c r="H37" s="82">
        <v>0</v>
      </c>
      <c r="I37" s="58">
        <f t="shared" si="1"/>
        <v>0</v>
      </c>
      <c r="J37" s="98" t="s">
        <v>51</v>
      </c>
      <c r="K37" s="58">
        <f t="shared" si="2"/>
        <v>0</v>
      </c>
    </row>
    <row r="38" spans="1:11" s="5" customFormat="1" ht="12.95" customHeight="1" x14ac:dyDescent="0.2">
      <c r="A38" s="76" t="s">
        <v>265</v>
      </c>
      <c r="B38" s="84">
        <v>2124</v>
      </c>
      <c r="C38" s="82">
        <v>3012.4</v>
      </c>
      <c r="D38" s="82">
        <f>SUM(D39:D40)</f>
        <v>3330.4</v>
      </c>
      <c r="E38" s="82">
        <f>SUM(E39:E40)</f>
        <v>2650</v>
      </c>
      <c r="F38" s="82">
        <f>SUM(F39:F40)</f>
        <v>3330.4</v>
      </c>
      <c r="G38" s="82">
        <f t="shared" si="4"/>
        <v>680.40000000000009</v>
      </c>
      <c r="H38" s="82">
        <f>F38/E38*100</f>
        <v>125.67547169811321</v>
      </c>
      <c r="I38" s="58">
        <f t="shared" si="1"/>
        <v>834.10000000000036</v>
      </c>
      <c r="J38" s="98">
        <v>2496.2999999999997</v>
      </c>
      <c r="K38" s="58">
        <f t="shared" si="2"/>
        <v>2496.2999999999997</v>
      </c>
    </row>
    <row r="39" spans="1:11" s="5" customFormat="1" ht="12.95" customHeight="1" x14ac:dyDescent="0.2">
      <c r="A39" s="77" t="s">
        <v>269</v>
      </c>
      <c r="B39" s="79" t="s">
        <v>481</v>
      </c>
      <c r="C39" s="82">
        <v>2525.8000000000002</v>
      </c>
      <c r="D39" s="82">
        <v>2901.9</v>
      </c>
      <c r="E39" s="82">
        <v>1700</v>
      </c>
      <c r="F39" s="82">
        <v>2901.9</v>
      </c>
      <c r="G39" s="82">
        <f t="shared" si="4"/>
        <v>1201.9000000000001</v>
      </c>
      <c r="H39" s="82">
        <f>F39/E39*100</f>
        <v>170.70000000000002</v>
      </c>
      <c r="I39" s="58">
        <f t="shared" si="1"/>
        <v>743.30000000000018</v>
      </c>
      <c r="J39" s="98">
        <v>2158.6</v>
      </c>
      <c r="K39" s="58">
        <f t="shared" si="2"/>
        <v>2158.6</v>
      </c>
    </row>
    <row r="40" spans="1:11" s="5" customFormat="1" ht="12.95" customHeight="1" x14ac:dyDescent="0.2">
      <c r="A40" s="77" t="s">
        <v>194</v>
      </c>
      <c r="B40" s="79" t="s">
        <v>482</v>
      </c>
      <c r="C40" s="82">
        <v>486.6</v>
      </c>
      <c r="D40" s="82">
        <f>37.2+1.8+69.8+305.1+12.8+1.8</f>
        <v>428.50000000000006</v>
      </c>
      <c r="E40" s="82">
        <v>950</v>
      </c>
      <c r="F40" s="82">
        <f>37.2+1.8+69.8+305.1+12.8+1.8</f>
        <v>428.50000000000006</v>
      </c>
      <c r="G40" s="82">
        <f t="shared" si="4"/>
        <v>-521.5</v>
      </c>
      <c r="H40" s="82">
        <f>F40/E40*100</f>
        <v>45.10526315789474</v>
      </c>
      <c r="I40" s="58">
        <f t="shared" si="1"/>
        <v>90.800000000000068</v>
      </c>
      <c r="J40" s="98">
        <v>337.7</v>
      </c>
      <c r="K40" s="58">
        <f t="shared" si="2"/>
        <v>337.7</v>
      </c>
    </row>
    <row r="41" spans="1:11" s="5" customFormat="1" ht="20.25" customHeight="1" x14ac:dyDescent="0.2">
      <c r="A41" s="78" t="s">
        <v>270</v>
      </c>
      <c r="B41" s="12">
        <v>2130</v>
      </c>
      <c r="C41" s="91">
        <f>SUM(C42:C45)</f>
        <v>36042.800000000003</v>
      </c>
      <c r="D41" s="91">
        <f>SUM(D42:D45)</f>
        <v>42590.400000000001</v>
      </c>
      <c r="E41" s="91">
        <f>SUM(E42:E45)</f>
        <v>38320</v>
      </c>
      <c r="F41" s="91">
        <f>SUM(F42:F45)</f>
        <v>42590.400000000001</v>
      </c>
      <c r="G41" s="91">
        <f t="shared" si="4"/>
        <v>4270.4000000000015</v>
      </c>
      <c r="H41" s="91">
        <f>F41/E41*100</f>
        <v>111.14405010438414</v>
      </c>
      <c r="I41" s="58">
        <f t="shared" si="1"/>
        <v>8349.7000000000044</v>
      </c>
      <c r="J41" s="99">
        <v>34240.699999999997</v>
      </c>
      <c r="K41" s="58">
        <f t="shared" si="2"/>
        <v>34240.699999999997</v>
      </c>
    </row>
    <row r="42" spans="1:11" s="5" customFormat="1" ht="38.1" customHeight="1" x14ac:dyDescent="0.2">
      <c r="A42" s="76" t="s">
        <v>120</v>
      </c>
      <c r="B42" s="84">
        <v>2131</v>
      </c>
      <c r="C42" s="82">
        <v>1124.3</v>
      </c>
      <c r="D42" s="82">
        <v>3614</v>
      </c>
      <c r="E42" s="82">
        <v>5420</v>
      </c>
      <c r="F42" s="82">
        <v>3614</v>
      </c>
      <c r="G42" s="82">
        <f t="shared" si="4"/>
        <v>-1806</v>
      </c>
      <c r="H42" s="82">
        <f>F42/E42*100</f>
        <v>66.678966789667896</v>
      </c>
      <c r="I42" s="58">
        <f t="shared" si="1"/>
        <v>0</v>
      </c>
      <c r="J42" s="98">
        <v>3614</v>
      </c>
      <c r="K42" s="58">
        <f t="shared" si="2"/>
        <v>3614</v>
      </c>
    </row>
    <row r="43" spans="1:11" s="5" customFormat="1" ht="12.95" customHeight="1" x14ac:dyDescent="0.2">
      <c r="A43" s="76" t="s">
        <v>271</v>
      </c>
      <c r="B43" s="84">
        <v>2132</v>
      </c>
      <c r="C43" s="82" t="s">
        <v>51</v>
      </c>
      <c r="D43" s="82" t="s">
        <v>51</v>
      </c>
      <c r="E43" s="82" t="s">
        <v>51</v>
      </c>
      <c r="F43" s="82" t="s">
        <v>51</v>
      </c>
      <c r="G43" s="82">
        <f t="shared" si="4"/>
        <v>0</v>
      </c>
      <c r="H43" s="82">
        <v>0</v>
      </c>
      <c r="I43" s="58">
        <f t="shared" si="1"/>
        <v>0</v>
      </c>
      <c r="J43" s="98" t="s">
        <v>51</v>
      </c>
      <c r="K43" s="58">
        <f t="shared" si="2"/>
        <v>0</v>
      </c>
    </row>
    <row r="44" spans="1:11" s="5" customFormat="1" ht="12.95" customHeight="1" x14ac:dyDescent="0.2">
      <c r="A44" s="76" t="s">
        <v>121</v>
      </c>
      <c r="B44" s="84">
        <v>2133</v>
      </c>
      <c r="C44" s="82">
        <v>34918.5</v>
      </c>
      <c r="D44" s="82">
        <v>38976.400000000001</v>
      </c>
      <c r="E44" s="82">
        <v>32900</v>
      </c>
      <c r="F44" s="82">
        <v>38976.400000000001</v>
      </c>
      <c r="G44" s="82">
        <f t="shared" si="4"/>
        <v>6076.4000000000015</v>
      </c>
      <c r="H44" s="82">
        <f>F44/E44*100</f>
        <v>118.46930091185411</v>
      </c>
      <c r="I44" s="58">
        <f t="shared" si="1"/>
        <v>8349.7000000000007</v>
      </c>
      <c r="J44" s="98">
        <v>30626.7</v>
      </c>
      <c r="K44" s="58">
        <f t="shared" si="2"/>
        <v>30626.7</v>
      </c>
    </row>
    <row r="45" spans="1:11" s="5" customFormat="1" ht="12" customHeight="1" x14ac:dyDescent="0.2">
      <c r="A45" s="76" t="s">
        <v>272</v>
      </c>
      <c r="B45" s="84">
        <v>2134</v>
      </c>
      <c r="C45" s="82">
        <f>SUM(C46:C47)</f>
        <v>0</v>
      </c>
      <c r="D45" s="82">
        <f>SUM(D46:D47)</f>
        <v>0</v>
      </c>
      <c r="E45" s="82">
        <f>SUM(E46:E47)</f>
        <v>0</v>
      </c>
      <c r="F45" s="82">
        <f>SUM(F46:F47)</f>
        <v>0</v>
      </c>
      <c r="G45" s="82">
        <f t="shared" si="4"/>
        <v>0</v>
      </c>
      <c r="H45" s="82">
        <v>0</v>
      </c>
      <c r="I45" s="58">
        <f t="shared" si="1"/>
        <v>0</v>
      </c>
      <c r="J45" s="98">
        <v>0</v>
      </c>
      <c r="K45" s="58">
        <f t="shared" si="2"/>
        <v>0</v>
      </c>
    </row>
    <row r="46" spans="1:11" s="5" customFormat="1" ht="12.95" hidden="1" customHeight="1" x14ac:dyDescent="0.2">
      <c r="A46" s="77"/>
      <c r="B46" s="79"/>
      <c r="C46" s="82"/>
      <c r="D46" s="82"/>
      <c r="E46" s="82">
        <v>0</v>
      </c>
      <c r="F46" s="82"/>
      <c r="G46" s="82"/>
      <c r="H46" s="82"/>
      <c r="I46" s="58">
        <f t="shared" si="1"/>
        <v>0</v>
      </c>
      <c r="J46" s="98"/>
      <c r="K46" s="58">
        <f t="shared" si="2"/>
        <v>0</v>
      </c>
    </row>
    <row r="47" spans="1:11" s="5" customFormat="1" ht="12.95" hidden="1" customHeight="1" x14ac:dyDescent="0.2">
      <c r="A47" s="77"/>
      <c r="B47" s="79"/>
      <c r="C47" s="82"/>
      <c r="D47" s="82"/>
      <c r="E47" s="82">
        <v>0</v>
      </c>
      <c r="F47" s="82"/>
      <c r="G47" s="82"/>
      <c r="H47" s="82"/>
      <c r="I47" s="58">
        <f t="shared" si="1"/>
        <v>0</v>
      </c>
      <c r="J47" s="98"/>
      <c r="K47" s="58">
        <f t="shared" si="2"/>
        <v>0</v>
      </c>
    </row>
    <row r="48" spans="1:11" s="5" customFormat="1" ht="12.95" customHeight="1" x14ac:dyDescent="0.2">
      <c r="A48" s="78" t="s">
        <v>273</v>
      </c>
      <c r="B48" s="12">
        <v>2140</v>
      </c>
      <c r="C48" s="91">
        <f>SUM(C49:C50)</f>
        <v>0</v>
      </c>
      <c r="D48" s="91">
        <f>SUM(D49:D50)</f>
        <v>52.3</v>
      </c>
      <c r="E48" s="91">
        <f>SUM(E49:E50)</f>
        <v>0</v>
      </c>
      <c r="F48" s="91">
        <f>SUM(F49:F50)</f>
        <v>52.3</v>
      </c>
      <c r="G48" s="91">
        <f t="shared" si="4"/>
        <v>52.3</v>
      </c>
      <c r="H48" s="91">
        <v>0</v>
      </c>
      <c r="I48" s="58">
        <f t="shared" si="1"/>
        <v>0</v>
      </c>
      <c r="J48" s="99">
        <v>52.3</v>
      </c>
      <c r="K48" s="58">
        <f t="shared" si="2"/>
        <v>52.3</v>
      </c>
    </row>
    <row r="49" spans="1:11" s="5" customFormat="1" ht="26.1" customHeight="1" x14ac:dyDescent="0.2">
      <c r="A49" s="76" t="s">
        <v>274</v>
      </c>
      <c r="B49" s="84">
        <v>2141</v>
      </c>
      <c r="C49" s="82" t="s">
        <v>51</v>
      </c>
      <c r="D49" s="82" t="s">
        <v>51</v>
      </c>
      <c r="E49" s="82" t="s">
        <v>51</v>
      </c>
      <c r="F49" s="82" t="s">
        <v>51</v>
      </c>
      <c r="G49" s="82">
        <f t="shared" si="4"/>
        <v>0</v>
      </c>
      <c r="H49" s="82">
        <v>0</v>
      </c>
      <c r="I49" s="58">
        <f t="shared" si="1"/>
        <v>0</v>
      </c>
      <c r="J49" s="98" t="s">
        <v>51</v>
      </c>
      <c r="K49" s="58">
        <f t="shared" si="2"/>
        <v>0</v>
      </c>
    </row>
    <row r="50" spans="1:11" s="5" customFormat="1" ht="12.95" customHeight="1" x14ac:dyDescent="0.2">
      <c r="A50" s="76" t="s">
        <v>275</v>
      </c>
      <c r="B50" s="84">
        <v>2142</v>
      </c>
      <c r="C50" s="82">
        <f>SUM(C51:C51)</f>
        <v>0</v>
      </c>
      <c r="D50" s="82">
        <f>SUM(D51:D51)</f>
        <v>52.3</v>
      </c>
      <c r="E50" s="82">
        <f>SUM(E51:E51)</f>
        <v>0</v>
      </c>
      <c r="F50" s="82">
        <f>SUM(F51:F51)</f>
        <v>52.3</v>
      </c>
      <c r="G50" s="82">
        <f t="shared" si="4"/>
        <v>52.3</v>
      </c>
      <c r="H50" s="82">
        <v>0</v>
      </c>
      <c r="I50" s="58">
        <f t="shared" si="1"/>
        <v>0</v>
      </c>
      <c r="J50" s="98">
        <v>52.3</v>
      </c>
      <c r="K50" s="58">
        <f t="shared" si="2"/>
        <v>52.3</v>
      </c>
    </row>
    <row r="51" spans="1:11" s="5" customFormat="1" ht="12.95" customHeight="1" x14ac:dyDescent="0.2">
      <c r="A51" s="77" t="s">
        <v>483</v>
      </c>
      <c r="B51" s="79" t="s">
        <v>484</v>
      </c>
      <c r="C51" s="82">
        <v>0</v>
      </c>
      <c r="D51" s="82">
        <v>52.3</v>
      </c>
      <c r="E51" s="82" t="s">
        <v>51</v>
      </c>
      <c r="F51" s="82">
        <v>52.3</v>
      </c>
      <c r="G51" s="82">
        <f t="shared" si="4"/>
        <v>52.3</v>
      </c>
      <c r="H51" s="82">
        <v>0</v>
      </c>
      <c r="I51" s="58">
        <f t="shared" si="1"/>
        <v>0</v>
      </c>
      <c r="J51" s="98">
        <v>52.3</v>
      </c>
      <c r="K51" s="58">
        <f t="shared" si="2"/>
        <v>52.3</v>
      </c>
    </row>
    <row r="52" spans="1:11" s="5" customFormat="1" ht="12.95" customHeight="1" x14ac:dyDescent="0.2">
      <c r="A52" s="78" t="s">
        <v>122</v>
      </c>
      <c r="B52" s="12">
        <v>2200</v>
      </c>
      <c r="C52" s="91">
        <f>SUM(C23,C34,C41,C48)</f>
        <v>65190.8</v>
      </c>
      <c r="D52" s="91">
        <f>SUM(D23,D34,D41,D48)</f>
        <v>74927.7</v>
      </c>
      <c r="E52" s="91">
        <f>SUM(E23,E34,E41,E48)</f>
        <v>70898</v>
      </c>
      <c r="F52" s="91">
        <f>SUM(F23,F34,F41,F48)</f>
        <v>74927.7</v>
      </c>
      <c r="G52" s="91">
        <f t="shared" si="4"/>
        <v>4029.6999999999971</v>
      </c>
      <c r="H52" s="91">
        <f>F52/E52*100</f>
        <v>105.68379926091002</v>
      </c>
      <c r="I52" s="58">
        <f t="shared" si="1"/>
        <v>20461.400000000001</v>
      </c>
      <c r="J52" s="99">
        <v>54466.299999999996</v>
      </c>
      <c r="K52" s="58">
        <f t="shared" si="2"/>
        <v>54466.299999999996</v>
      </c>
    </row>
    <row r="53" spans="1:11" s="5" customFormat="1" ht="12.95" customHeight="1" x14ac:dyDescent="0.2">
      <c r="J53" s="6"/>
    </row>
    <row r="54" spans="1:11" s="5" customFormat="1" ht="12.95" customHeight="1" x14ac:dyDescent="0.2">
      <c r="A54" s="85" t="s">
        <v>179</v>
      </c>
      <c r="B54" s="85"/>
      <c r="C54" s="85"/>
      <c r="D54" s="85"/>
      <c r="E54" s="85"/>
      <c r="F54" s="85"/>
      <c r="G54" s="85"/>
      <c r="H54" s="85"/>
      <c r="J54" s="6"/>
    </row>
    <row r="55" spans="1:11" s="16" customFormat="1" ht="12.95" customHeight="1" x14ac:dyDescent="0.2">
      <c r="A55" s="15" t="s">
        <v>592</v>
      </c>
      <c r="B55" s="85"/>
      <c r="C55" s="135"/>
      <c r="D55" s="135"/>
      <c r="E55" s="85"/>
      <c r="F55" s="136" t="s">
        <v>608</v>
      </c>
      <c r="G55" s="137"/>
      <c r="H55" s="137"/>
      <c r="J55" s="100"/>
    </row>
    <row r="56" spans="1:11" s="16" customFormat="1" ht="12.95" customHeight="1" x14ac:dyDescent="0.2">
      <c r="A56" s="93" t="s">
        <v>180</v>
      </c>
      <c r="B56" s="85"/>
      <c r="C56" s="116" t="s">
        <v>181</v>
      </c>
      <c r="D56" s="116"/>
      <c r="E56" s="85"/>
      <c r="F56" s="116" t="s">
        <v>182</v>
      </c>
      <c r="G56" s="116"/>
      <c r="H56" s="116"/>
      <c r="J56" s="100"/>
    </row>
  </sheetData>
  <mergeCells count="11">
    <mergeCell ref="A1:H1"/>
    <mergeCell ref="A3:A4"/>
    <mergeCell ref="B3:B4"/>
    <mergeCell ref="C3:D3"/>
    <mergeCell ref="E3:H3"/>
    <mergeCell ref="C56:D56"/>
    <mergeCell ref="F56:H56"/>
    <mergeCell ref="A6:H6"/>
    <mergeCell ref="C55:D55"/>
    <mergeCell ref="A22:H22"/>
    <mergeCell ref="F55:H55"/>
  </mergeCells>
  <phoneticPr fontId="0" type="noConversion"/>
  <pageMargins left="0.35433070866141736" right="0.35433070866141736" top="0.35433070866141736" bottom="0.35433070866141736" header="0" footer="0"/>
  <pageSetup paperSize="9" scale="95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U94"/>
  <sheetViews>
    <sheetView topLeftCell="A52" zoomScaleNormal="100" workbookViewId="0">
      <selection activeCell="E61" sqref="E61:E65"/>
    </sheetView>
  </sheetViews>
  <sheetFormatPr defaultColWidth="8.7109375" defaultRowHeight="11.45" customHeight="1" x14ac:dyDescent="0.2"/>
  <cols>
    <col min="1" max="1" width="58.7109375" style="5" customWidth="1"/>
    <col min="2" max="2" width="7.28515625" style="5" customWidth="1"/>
    <col min="3" max="3" width="13.140625" style="6" customWidth="1"/>
    <col min="4" max="4" width="12.7109375" style="6" customWidth="1"/>
    <col min="5" max="5" width="11.140625" style="6" customWidth="1"/>
    <col min="6" max="6" width="11.7109375" style="6" customWidth="1"/>
    <col min="7" max="7" width="12.28515625" style="6" customWidth="1"/>
    <col min="8" max="8" width="10.5703125" style="6" customWidth="1"/>
    <col min="9" max="9" width="11.140625" style="108" hidden="1" customWidth="1"/>
    <col min="10" max="10" width="9.140625" style="109" hidden="1" customWidth="1"/>
    <col min="11" max="11" width="9.7109375" style="108" hidden="1" customWidth="1"/>
    <col min="12" max="21" width="8.7109375" style="25"/>
    <col min="22" max="16384" width="8.7109375" style="11"/>
  </cols>
  <sheetData>
    <row r="1" spans="1:11" s="5" customFormat="1" ht="12.95" customHeight="1" x14ac:dyDescent="0.2">
      <c r="A1" s="116" t="s">
        <v>276</v>
      </c>
      <c r="B1" s="116"/>
      <c r="C1" s="116"/>
      <c r="D1" s="116"/>
      <c r="E1" s="116"/>
      <c r="F1" s="116"/>
      <c r="G1" s="116"/>
      <c r="H1" s="116"/>
      <c r="I1" s="102"/>
      <c r="J1" s="103"/>
      <c r="K1" s="102"/>
    </row>
    <row r="2" spans="1:11" s="5" customFormat="1" ht="12.95" customHeight="1" x14ac:dyDescent="0.2">
      <c r="I2" s="102"/>
      <c r="J2" s="103"/>
      <c r="K2" s="102"/>
    </row>
    <row r="3" spans="1:11" s="5" customFormat="1" ht="26.1" customHeight="1" x14ac:dyDescent="0.2">
      <c r="A3" s="145" t="s">
        <v>40</v>
      </c>
      <c r="B3" s="145" t="s">
        <v>41</v>
      </c>
      <c r="C3" s="145" t="s">
        <v>42</v>
      </c>
      <c r="D3" s="145"/>
      <c r="E3" s="145" t="str">
        <f>'Осн. фін. пок.'!E27:H27</f>
        <v>Звітний період (2019 р.)</v>
      </c>
      <c r="F3" s="145"/>
      <c r="G3" s="145"/>
      <c r="H3" s="145"/>
      <c r="I3" s="102"/>
      <c r="J3" s="104" t="s">
        <v>596</v>
      </c>
      <c r="K3" s="102"/>
    </row>
    <row r="4" spans="1:11" s="5" customFormat="1" ht="26.1" customHeight="1" x14ac:dyDescent="0.2">
      <c r="A4" s="145"/>
      <c r="B4" s="145"/>
      <c r="C4" s="79" t="s">
        <v>43</v>
      </c>
      <c r="D4" s="79" t="s">
        <v>44</v>
      </c>
      <c r="E4" s="79" t="s">
        <v>45</v>
      </c>
      <c r="F4" s="79" t="s">
        <v>46</v>
      </c>
      <c r="G4" s="79" t="s">
        <v>47</v>
      </c>
      <c r="H4" s="79" t="s">
        <v>48</v>
      </c>
      <c r="I4" s="102"/>
      <c r="J4" s="103"/>
      <c r="K4" s="102"/>
    </row>
    <row r="5" spans="1:11" s="5" customFormat="1" ht="12.95" customHeight="1" x14ac:dyDescent="0.2">
      <c r="A5" s="84">
        <v>1</v>
      </c>
      <c r="B5" s="84">
        <v>2</v>
      </c>
      <c r="C5" s="84">
        <v>3</v>
      </c>
      <c r="D5" s="84">
        <v>4</v>
      </c>
      <c r="E5" s="84">
        <v>5</v>
      </c>
      <c r="F5" s="84">
        <v>6</v>
      </c>
      <c r="G5" s="84">
        <v>7</v>
      </c>
      <c r="H5" s="84">
        <v>8</v>
      </c>
      <c r="I5" s="102"/>
      <c r="J5" s="103"/>
      <c r="K5" s="102"/>
    </row>
    <row r="6" spans="1:11" s="5" customFormat="1" ht="12.95" customHeight="1" x14ac:dyDescent="0.2">
      <c r="A6" s="146" t="s">
        <v>277</v>
      </c>
      <c r="B6" s="146"/>
      <c r="C6" s="146"/>
      <c r="D6" s="146"/>
      <c r="E6" s="146"/>
      <c r="F6" s="146"/>
      <c r="G6" s="146"/>
      <c r="H6" s="146"/>
      <c r="I6" s="102"/>
      <c r="J6" s="103"/>
      <c r="K6" s="102"/>
    </row>
    <row r="7" spans="1:11" s="5" customFormat="1" ht="12.95" customHeight="1" x14ac:dyDescent="0.2">
      <c r="A7" s="78" t="s">
        <v>278</v>
      </c>
      <c r="B7" s="12">
        <v>3000</v>
      </c>
      <c r="C7" s="91">
        <f>SUM(C8:C13,C17)-C10</f>
        <v>995941</v>
      </c>
      <c r="D7" s="91">
        <f>SUM(D8:D13,D17)-D10</f>
        <v>905039</v>
      </c>
      <c r="E7" s="91">
        <f>SUM(E8:E13,E17)-E10</f>
        <v>1047475</v>
      </c>
      <c r="F7" s="91">
        <f>SUM(F8:F13,F17)-F10</f>
        <v>905039</v>
      </c>
      <c r="G7" s="91">
        <f>F7-E7</f>
        <v>-142436</v>
      </c>
      <c r="H7" s="91">
        <f>F7/E7*100</f>
        <v>86.401966634048549</v>
      </c>
      <c r="I7" s="105">
        <f>D7-J7</f>
        <v>280194.90000000002</v>
      </c>
      <c r="J7" s="103">
        <v>624844.1</v>
      </c>
      <c r="K7" s="105">
        <f>F7-I7</f>
        <v>624844.1</v>
      </c>
    </row>
    <row r="8" spans="1:11" s="5" customFormat="1" ht="12.95" customHeight="1" x14ac:dyDescent="0.2">
      <c r="A8" s="76" t="s">
        <v>279</v>
      </c>
      <c r="B8" s="84">
        <v>3010</v>
      </c>
      <c r="C8" s="82">
        <v>599216</v>
      </c>
      <c r="D8" s="82">
        <v>248069</v>
      </c>
      <c r="E8" s="82">
        <v>979270</v>
      </c>
      <c r="F8" s="82">
        <v>248069</v>
      </c>
      <c r="G8" s="82">
        <f t="shared" ref="G8:G45" si="0">F8-E8</f>
        <v>-731201</v>
      </c>
      <c r="H8" s="82">
        <f>F8/E8*100</f>
        <v>25.332033045023334</v>
      </c>
      <c r="I8" s="105">
        <f>D8-J8</f>
        <v>-313548.09999999998</v>
      </c>
      <c r="J8" s="103">
        <v>561617.1</v>
      </c>
      <c r="K8" s="105">
        <f t="shared" ref="K8:K71" si="1">F8-I8</f>
        <v>561617.1</v>
      </c>
    </row>
    <row r="9" spans="1:11" s="5" customFormat="1" ht="12.95" customHeight="1" x14ac:dyDescent="0.2">
      <c r="A9" s="76" t="s">
        <v>280</v>
      </c>
      <c r="B9" s="84">
        <v>3030</v>
      </c>
      <c r="C9" s="82">
        <v>0</v>
      </c>
      <c r="D9" s="82">
        <f>D10</f>
        <v>0</v>
      </c>
      <c r="E9" s="82">
        <v>7000</v>
      </c>
      <c r="F9" s="82">
        <f>F10</f>
        <v>0</v>
      </c>
      <c r="G9" s="82">
        <f t="shared" si="0"/>
        <v>-7000</v>
      </c>
      <c r="H9" s="82">
        <f t="shared" ref="H9:H19" si="2">F9/E9*100</f>
        <v>0</v>
      </c>
      <c r="I9" s="105">
        <f t="shared" ref="I9:I71" si="3">D9-J9</f>
        <v>0</v>
      </c>
      <c r="J9" s="103">
        <v>0</v>
      </c>
      <c r="K9" s="105">
        <f t="shared" si="1"/>
        <v>0</v>
      </c>
    </row>
    <row r="10" spans="1:11" s="5" customFormat="1" ht="12.95" customHeight="1" x14ac:dyDescent="0.2">
      <c r="A10" s="76" t="s">
        <v>281</v>
      </c>
      <c r="B10" s="84">
        <v>3040</v>
      </c>
      <c r="C10" s="82">
        <v>0</v>
      </c>
      <c r="D10" s="82">
        <v>0</v>
      </c>
      <c r="E10" s="82">
        <v>7000</v>
      </c>
      <c r="F10" s="82">
        <v>0</v>
      </c>
      <c r="G10" s="82">
        <f t="shared" si="0"/>
        <v>-7000</v>
      </c>
      <c r="H10" s="82">
        <f t="shared" si="2"/>
        <v>0</v>
      </c>
      <c r="I10" s="105">
        <f t="shared" si="3"/>
        <v>0</v>
      </c>
      <c r="J10" s="103">
        <v>0</v>
      </c>
      <c r="K10" s="105">
        <f t="shared" si="1"/>
        <v>0</v>
      </c>
    </row>
    <row r="11" spans="1:11" s="5" customFormat="1" ht="12.95" customHeight="1" x14ac:dyDescent="0.2">
      <c r="A11" s="76" t="s">
        <v>282</v>
      </c>
      <c r="B11" s="84">
        <v>3040</v>
      </c>
      <c r="C11" s="82" t="s">
        <v>51</v>
      </c>
      <c r="D11" s="82" t="s">
        <v>51</v>
      </c>
      <c r="E11" s="82" t="s">
        <v>51</v>
      </c>
      <c r="F11" s="82" t="s">
        <v>51</v>
      </c>
      <c r="G11" s="82">
        <f t="shared" si="0"/>
        <v>0</v>
      </c>
      <c r="H11" s="82">
        <v>0</v>
      </c>
      <c r="I11" s="105">
        <f t="shared" si="3"/>
        <v>0</v>
      </c>
      <c r="J11" s="103" t="s">
        <v>51</v>
      </c>
      <c r="K11" s="105">
        <f t="shared" si="1"/>
        <v>0</v>
      </c>
    </row>
    <row r="12" spans="1:11" s="5" customFormat="1" ht="15.75" customHeight="1" x14ac:dyDescent="0.2">
      <c r="A12" s="76" t="s">
        <v>283</v>
      </c>
      <c r="B12" s="84">
        <v>3050</v>
      </c>
      <c r="C12" s="82">
        <v>246825</v>
      </c>
      <c r="D12" s="82">
        <v>501423</v>
      </c>
      <c r="E12" s="82" t="s">
        <v>51</v>
      </c>
      <c r="F12" s="82">
        <v>501423</v>
      </c>
      <c r="G12" s="82">
        <f t="shared" si="0"/>
        <v>501423</v>
      </c>
      <c r="H12" s="82">
        <v>0</v>
      </c>
      <c r="I12" s="105">
        <f t="shared" si="3"/>
        <v>473787</v>
      </c>
      <c r="J12" s="103">
        <v>27636</v>
      </c>
      <c r="K12" s="105">
        <f t="shared" si="1"/>
        <v>27636</v>
      </c>
    </row>
    <row r="13" spans="1:11" s="5" customFormat="1" ht="15.75" customHeight="1" x14ac:dyDescent="0.2">
      <c r="A13" s="76" t="s">
        <v>284</v>
      </c>
      <c r="B13" s="84">
        <v>3060</v>
      </c>
      <c r="C13" s="82">
        <f>SUM(C14:C16)</f>
        <v>28000</v>
      </c>
      <c r="D13" s="82">
        <f>SUM(D14:D16)</f>
        <v>29639</v>
      </c>
      <c r="E13" s="82">
        <f>SUM(E14:E16)</f>
        <v>30000</v>
      </c>
      <c r="F13" s="82">
        <f>SUM(F14:F16)</f>
        <v>29639</v>
      </c>
      <c r="G13" s="82">
        <f t="shared" si="0"/>
        <v>-361</v>
      </c>
      <c r="H13" s="82">
        <f t="shared" si="2"/>
        <v>98.796666666666667</v>
      </c>
      <c r="I13" s="105">
        <f t="shared" si="3"/>
        <v>0</v>
      </c>
      <c r="J13" s="103">
        <v>29639</v>
      </c>
      <c r="K13" s="105">
        <f t="shared" si="1"/>
        <v>29639</v>
      </c>
    </row>
    <row r="14" spans="1:11" s="5" customFormat="1" ht="12.95" customHeight="1" x14ac:dyDescent="0.2">
      <c r="A14" s="76" t="s">
        <v>285</v>
      </c>
      <c r="B14" s="84">
        <v>3061</v>
      </c>
      <c r="C14" s="82">
        <v>28000</v>
      </c>
      <c r="D14" s="82">
        <v>29639</v>
      </c>
      <c r="E14" s="82">
        <v>30000</v>
      </c>
      <c r="F14" s="82">
        <v>29639</v>
      </c>
      <c r="G14" s="82">
        <f t="shared" si="0"/>
        <v>-361</v>
      </c>
      <c r="H14" s="111">
        <f t="shared" si="2"/>
        <v>98.796666666666667</v>
      </c>
      <c r="I14" s="105">
        <f t="shared" si="3"/>
        <v>0</v>
      </c>
      <c r="J14" s="103">
        <v>29639</v>
      </c>
      <c r="K14" s="105">
        <f t="shared" si="1"/>
        <v>29639</v>
      </c>
    </row>
    <row r="15" spans="1:11" s="5" customFormat="1" ht="12.95" customHeight="1" x14ac:dyDescent="0.2">
      <c r="A15" s="76" t="s">
        <v>286</v>
      </c>
      <c r="B15" s="84">
        <v>3062</v>
      </c>
      <c r="C15" s="82">
        <v>0</v>
      </c>
      <c r="D15" s="82">
        <v>0</v>
      </c>
      <c r="E15" s="82">
        <v>0</v>
      </c>
      <c r="F15" s="82">
        <v>0</v>
      </c>
      <c r="G15" s="82">
        <f t="shared" si="0"/>
        <v>0</v>
      </c>
      <c r="H15" s="82">
        <v>0</v>
      </c>
      <c r="I15" s="105">
        <f t="shared" si="3"/>
        <v>0</v>
      </c>
      <c r="J15" s="103">
        <v>0</v>
      </c>
      <c r="K15" s="105">
        <f t="shared" si="1"/>
        <v>0</v>
      </c>
    </row>
    <row r="16" spans="1:11" s="5" customFormat="1" ht="12.95" customHeight="1" x14ac:dyDescent="0.2">
      <c r="A16" s="76" t="s">
        <v>287</v>
      </c>
      <c r="B16" s="84">
        <v>3063</v>
      </c>
      <c r="C16" s="82" t="s">
        <v>51</v>
      </c>
      <c r="D16" s="82" t="s">
        <v>51</v>
      </c>
      <c r="E16" s="82" t="s">
        <v>51</v>
      </c>
      <c r="F16" s="82" t="s">
        <v>51</v>
      </c>
      <c r="G16" s="82">
        <f t="shared" si="0"/>
        <v>0</v>
      </c>
      <c r="H16" s="82">
        <v>0</v>
      </c>
      <c r="I16" s="105">
        <f t="shared" si="3"/>
        <v>0</v>
      </c>
      <c r="J16" s="103" t="s">
        <v>51</v>
      </c>
      <c r="K16" s="105">
        <f t="shared" si="1"/>
        <v>0</v>
      </c>
    </row>
    <row r="17" spans="1:15" s="5" customFormat="1" ht="12.95" customHeight="1" x14ac:dyDescent="0.2">
      <c r="A17" s="76" t="s">
        <v>288</v>
      </c>
      <c r="B17" s="84">
        <v>3070</v>
      </c>
      <c r="C17" s="82">
        <f>SUM(C18:C19)</f>
        <v>121900</v>
      </c>
      <c r="D17" s="82">
        <f>SUM(D18:D19)</f>
        <v>125908</v>
      </c>
      <c r="E17" s="82">
        <f>SUM(E18:E19)</f>
        <v>31205</v>
      </c>
      <c r="F17" s="82">
        <f>SUM(F18:F19)</f>
        <v>125908</v>
      </c>
      <c r="G17" s="82">
        <f t="shared" si="0"/>
        <v>94703</v>
      </c>
      <c r="H17" s="82">
        <f t="shared" si="2"/>
        <v>403.4866207338568</v>
      </c>
      <c r="I17" s="105">
        <f t="shared" si="3"/>
        <v>119956</v>
      </c>
      <c r="J17" s="103">
        <v>5952</v>
      </c>
      <c r="K17" s="105">
        <f t="shared" si="1"/>
        <v>5952</v>
      </c>
    </row>
    <row r="18" spans="1:15" s="5" customFormat="1" ht="12.95" customHeight="1" x14ac:dyDescent="0.2">
      <c r="A18" s="77" t="s">
        <v>228</v>
      </c>
      <c r="B18" s="79" t="s">
        <v>545</v>
      </c>
      <c r="C18" s="82">
        <v>3059</v>
      </c>
      <c r="D18" s="82">
        <v>3792</v>
      </c>
      <c r="E18" s="82">
        <v>2185</v>
      </c>
      <c r="F18" s="82">
        <v>3792</v>
      </c>
      <c r="G18" s="82">
        <f t="shared" si="0"/>
        <v>1607</v>
      </c>
      <c r="H18" s="82">
        <f t="shared" si="2"/>
        <v>173.54691075514873</v>
      </c>
      <c r="I18" s="105">
        <f t="shared" si="3"/>
        <v>1514.6999999999998</v>
      </c>
      <c r="J18" s="103">
        <v>2277.3000000000002</v>
      </c>
      <c r="K18" s="105">
        <f t="shared" si="1"/>
        <v>2277.3000000000002</v>
      </c>
    </row>
    <row r="19" spans="1:15" s="5" customFormat="1" ht="12.95" customHeight="1" x14ac:dyDescent="0.2">
      <c r="A19" s="77" t="s">
        <v>289</v>
      </c>
      <c r="B19" s="79" t="s">
        <v>546</v>
      </c>
      <c r="C19" s="82">
        <v>118841</v>
      </c>
      <c r="D19" s="82">
        <f>121915+25+129+47</f>
        <v>122116</v>
      </c>
      <c r="E19" s="82">
        <v>29020</v>
      </c>
      <c r="F19" s="82">
        <f>121915+25+129+47</f>
        <v>122116</v>
      </c>
      <c r="G19" s="82">
        <f t="shared" si="0"/>
        <v>93096</v>
      </c>
      <c r="H19" s="82">
        <f t="shared" si="2"/>
        <v>420.79944865609929</v>
      </c>
      <c r="I19" s="105">
        <f t="shared" si="3"/>
        <v>118441.3</v>
      </c>
      <c r="J19" s="103">
        <v>3674.7</v>
      </c>
      <c r="K19" s="105">
        <f t="shared" si="1"/>
        <v>3674.6999999999971</v>
      </c>
    </row>
    <row r="20" spans="1:15" s="5" customFormat="1" ht="12.95" customHeight="1" x14ac:dyDescent="0.2">
      <c r="A20" s="38" t="s">
        <v>513</v>
      </c>
      <c r="B20" s="12">
        <v>3100</v>
      </c>
      <c r="C20" s="91">
        <f>SUM(C21,C22,C23,C24,C28,C43)</f>
        <v>-995595</v>
      </c>
      <c r="D20" s="91">
        <f>SUM(D21,D22,D23,D24,D28,D43)</f>
        <v>-930459</v>
      </c>
      <c r="E20" s="91">
        <f>SUM(E21,E22,E23,E24,E28,E43)</f>
        <v>-1086596</v>
      </c>
      <c r="F20" s="91">
        <f>SUM(F21,F22,F23,F24,F28,F43)</f>
        <v>-930459</v>
      </c>
      <c r="G20" s="91">
        <f t="shared" si="0"/>
        <v>156137</v>
      </c>
      <c r="H20" s="91">
        <f t="shared" ref="H20:H25" si="4">F20/E20*100</f>
        <v>85.630629967347573</v>
      </c>
      <c r="I20" s="105">
        <f t="shared" si="3"/>
        <v>-291568.90000000002</v>
      </c>
      <c r="J20" s="103">
        <v>-638890.1</v>
      </c>
      <c r="K20" s="105">
        <f t="shared" si="1"/>
        <v>-638890.1</v>
      </c>
    </row>
    <row r="21" spans="1:15" s="5" customFormat="1" ht="12.95" customHeight="1" x14ac:dyDescent="0.2">
      <c r="A21" s="76" t="s">
        <v>290</v>
      </c>
      <c r="B21" s="84">
        <v>3110</v>
      </c>
      <c r="C21" s="82">
        <v>-654135</v>
      </c>
      <c r="D21" s="4">
        <v>-585292</v>
      </c>
      <c r="E21" s="82">
        <v>-859486</v>
      </c>
      <c r="F21" s="4">
        <v>-585292</v>
      </c>
      <c r="G21" s="82">
        <f t="shared" si="0"/>
        <v>274194</v>
      </c>
      <c r="H21" s="82">
        <f t="shared" si="4"/>
        <v>68.097909680902305</v>
      </c>
      <c r="I21" s="105">
        <f t="shared" si="3"/>
        <v>-133690.89999999997</v>
      </c>
      <c r="J21" s="103">
        <v>-451601.10000000003</v>
      </c>
      <c r="K21" s="105">
        <f t="shared" si="1"/>
        <v>-451601.10000000003</v>
      </c>
    </row>
    <row r="22" spans="1:15" s="5" customFormat="1" ht="12.95" customHeight="1" x14ac:dyDescent="0.2">
      <c r="A22" s="76" t="s">
        <v>291</v>
      </c>
      <c r="B22" s="84">
        <v>3120</v>
      </c>
      <c r="C22" s="82">
        <v>-113644</v>
      </c>
      <c r="D22" s="4">
        <v>-128422</v>
      </c>
      <c r="E22" s="82">
        <v>-119212</v>
      </c>
      <c r="F22" s="4">
        <v>-128422</v>
      </c>
      <c r="G22" s="82">
        <f t="shared" si="0"/>
        <v>-9210</v>
      </c>
      <c r="H22" s="82">
        <f t="shared" si="4"/>
        <v>107.72573230882796</v>
      </c>
      <c r="I22" s="105">
        <f t="shared" si="3"/>
        <v>-25779.699999999997</v>
      </c>
      <c r="J22" s="103">
        <v>-102642.3</v>
      </c>
      <c r="K22" s="105">
        <f t="shared" si="1"/>
        <v>-102642.3</v>
      </c>
    </row>
    <row r="23" spans="1:15" s="5" customFormat="1" ht="12.95" customHeight="1" x14ac:dyDescent="0.2">
      <c r="A23" s="75" t="s">
        <v>91</v>
      </c>
      <c r="B23" s="84">
        <v>3130</v>
      </c>
      <c r="C23" s="82">
        <v>-32293</v>
      </c>
      <c r="D23" s="4">
        <v>-35564</v>
      </c>
      <c r="E23" s="82">
        <v>-32900</v>
      </c>
      <c r="F23" s="4">
        <v>-35564</v>
      </c>
      <c r="G23" s="82">
        <f>F23-E23</f>
        <v>-2664</v>
      </c>
      <c r="H23" s="82">
        <f t="shared" si="4"/>
        <v>108.09726443768997</v>
      </c>
      <c r="I23" s="105">
        <f t="shared" si="3"/>
        <v>-4937.2999999999993</v>
      </c>
      <c r="J23" s="103">
        <v>-30626.7</v>
      </c>
      <c r="K23" s="105">
        <f t="shared" si="1"/>
        <v>-30626.7</v>
      </c>
      <c r="M23" s="58"/>
      <c r="N23" s="58"/>
      <c r="O23" s="58"/>
    </row>
    <row r="24" spans="1:15" s="5" customFormat="1" ht="14.25" customHeight="1" x14ac:dyDescent="0.2">
      <c r="A24" s="76" t="s">
        <v>292</v>
      </c>
      <c r="B24" s="84">
        <v>3140</v>
      </c>
      <c r="C24" s="82">
        <f>SUM(C25:C27)</f>
        <v>-29950</v>
      </c>
      <c r="D24" s="82">
        <f>SUM(D25:D27)</f>
        <v>-12879</v>
      </c>
      <c r="E24" s="82">
        <f>SUM(E25:E27)</f>
        <v>-30000</v>
      </c>
      <c r="F24" s="82">
        <f>SUM(F25:F27)</f>
        <v>-12879</v>
      </c>
      <c r="G24" s="82">
        <f t="shared" si="0"/>
        <v>17121</v>
      </c>
      <c r="H24" s="82">
        <f t="shared" si="4"/>
        <v>42.93</v>
      </c>
      <c r="I24" s="105">
        <f t="shared" si="3"/>
        <v>-740</v>
      </c>
      <c r="J24" s="103">
        <v>-12139</v>
      </c>
      <c r="K24" s="105">
        <f t="shared" si="1"/>
        <v>-12139</v>
      </c>
    </row>
    <row r="25" spans="1:15" s="5" customFormat="1" ht="12.95" customHeight="1" x14ac:dyDescent="0.2">
      <c r="A25" s="76" t="s">
        <v>285</v>
      </c>
      <c r="B25" s="84">
        <v>3141</v>
      </c>
      <c r="C25" s="82">
        <v>-28000</v>
      </c>
      <c r="D25" s="82">
        <v>-12879</v>
      </c>
      <c r="E25" s="82">
        <v>-30000</v>
      </c>
      <c r="F25" s="82">
        <v>-12879</v>
      </c>
      <c r="G25" s="82">
        <f>F25-E25</f>
        <v>17121</v>
      </c>
      <c r="H25" s="111">
        <f t="shared" si="4"/>
        <v>42.93</v>
      </c>
      <c r="I25" s="105">
        <f t="shared" si="3"/>
        <v>-740</v>
      </c>
      <c r="J25" s="103">
        <v>-12139</v>
      </c>
      <c r="K25" s="105">
        <f t="shared" si="1"/>
        <v>-12139</v>
      </c>
    </row>
    <row r="26" spans="1:15" s="5" customFormat="1" ht="12.95" customHeight="1" x14ac:dyDescent="0.2">
      <c r="A26" s="76" t="s">
        <v>286</v>
      </c>
      <c r="B26" s="84">
        <v>3142</v>
      </c>
      <c r="C26" s="82">
        <v>-1950</v>
      </c>
      <c r="D26" s="82">
        <v>0</v>
      </c>
      <c r="E26" s="82">
        <v>0</v>
      </c>
      <c r="F26" s="82">
        <v>0</v>
      </c>
      <c r="G26" s="82">
        <f t="shared" si="0"/>
        <v>0</v>
      </c>
      <c r="H26" s="82">
        <v>0</v>
      </c>
      <c r="I26" s="105">
        <f t="shared" si="3"/>
        <v>0</v>
      </c>
      <c r="J26" s="103">
        <v>0</v>
      </c>
      <c r="K26" s="105">
        <f t="shared" si="1"/>
        <v>0</v>
      </c>
    </row>
    <row r="27" spans="1:15" s="5" customFormat="1" ht="12.95" customHeight="1" x14ac:dyDescent="0.2">
      <c r="A27" s="76" t="s">
        <v>287</v>
      </c>
      <c r="B27" s="84">
        <v>3143</v>
      </c>
      <c r="C27" s="82" t="s">
        <v>51</v>
      </c>
      <c r="D27" s="82" t="s">
        <v>51</v>
      </c>
      <c r="E27" s="82" t="s">
        <v>51</v>
      </c>
      <c r="F27" s="82" t="s">
        <v>51</v>
      </c>
      <c r="G27" s="82">
        <f t="shared" si="0"/>
        <v>0</v>
      </c>
      <c r="H27" s="82">
        <v>0</v>
      </c>
      <c r="I27" s="105">
        <f t="shared" si="3"/>
        <v>0</v>
      </c>
      <c r="J27" s="103" t="s">
        <v>51</v>
      </c>
      <c r="K27" s="105">
        <f t="shared" si="1"/>
        <v>0</v>
      </c>
      <c r="M27" s="58"/>
      <c r="N27" s="58"/>
      <c r="O27" s="58"/>
    </row>
    <row r="28" spans="1:15" s="5" customFormat="1" ht="26.1" customHeight="1" x14ac:dyDescent="0.2">
      <c r="A28" s="76" t="s">
        <v>293</v>
      </c>
      <c r="B28" s="84">
        <v>3150</v>
      </c>
      <c r="C28" s="82">
        <f>SUM(C29:C34,C37)</f>
        <v>-41758</v>
      </c>
      <c r="D28" s="82">
        <f>SUM(D29:D34,D37)</f>
        <v>-51933.2</v>
      </c>
      <c r="E28" s="82">
        <f>SUM(E29:E34,E37)</f>
        <v>-44998</v>
      </c>
      <c r="F28" s="82">
        <f>SUM(F29:F34,F37)</f>
        <v>-51933.2</v>
      </c>
      <c r="G28" s="82">
        <f t="shared" si="0"/>
        <v>-6935.1999999999971</v>
      </c>
      <c r="H28" s="82">
        <f>F28/E28*100</f>
        <v>115.41224054402417</v>
      </c>
      <c r="I28" s="105">
        <f t="shared" si="3"/>
        <v>-11142.199999999997</v>
      </c>
      <c r="J28" s="103">
        <v>-40791</v>
      </c>
      <c r="K28" s="105">
        <f t="shared" si="1"/>
        <v>-40791</v>
      </c>
    </row>
    <row r="29" spans="1:15" s="5" customFormat="1" ht="12.95" customHeight="1" x14ac:dyDescent="0.2">
      <c r="A29" s="76" t="s">
        <v>111</v>
      </c>
      <c r="B29" s="84">
        <v>3151</v>
      </c>
      <c r="C29" s="82">
        <v>-212.7</v>
      </c>
      <c r="D29" s="82">
        <f>-'ІІ. Розр. з бюджетом'!D24</f>
        <v>-650.29999999999995</v>
      </c>
      <c r="E29" s="82">
        <v>-1300</v>
      </c>
      <c r="F29" s="82">
        <f>-'ІІ. Розр. з бюджетом'!F24</f>
        <v>-650.29999999999995</v>
      </c>
      <c r="G29" s="82">
        <f t="shared" si="0"/>
        <v>649.70000000000005</v>
      </c>
      <c r="H29" s="82">
        <v>0</v>
      </c>
      <c r="I29" s="105">
        <f t="shared" si="3"/>
        <v>0</v>
      </c>
      <c r="J29" s="103">
        <v>-650.29999999999995</v>
      </c>
      <c r="K29" s="105">
        <f t="shared" si="1"/>
        <v>-650.29999999999995</v>
      </c>
    </row>
    <row r="30" spans="1:15" s="5" customFormat="1" ht="12.95" customHeight="1" x14ac:dyDescent="0.2">
      <c r="A30" s="76" t="s">
        <v>294</v>
      </c>
      <c r="B30" s="84">
        <v>3152</v>
      </c>
      <c r="C30" s="82">
        <v>0</v>
      </c>
      <c r="D30" s="82" t="s">
        <v>51</v>
      </c>
      <c r="E30" s="82" t="s">
        <v>51</v>
      </c>
      <c r="F30" s="82" t="s">
        <v>51</v>
      </c>
      <c r="G30" s="82">
        <f t="shared" si="0"/>
        <v>0</v>
      </c>
      <c r="H30" s="82">
        <v>0</v>
      </c>
      <c r="I30" s="105">
        <f t="shared" si="3"/>
        <v>0</v>
      </c>
      <c r="J30" s="103" t="s">
        <v>51</v>
      </c>
      <c r="K30" s="105">
        <f t="shared" si="1"/>
        <v>0</v>
      </c>
    </row>
    <row r="31" spans="1:15" s="5" customFormat="1" ht="12.95" customHeight="1" x14ac:dyDescent="0.2">
      <c r="A31" s="76" t="s">
        <v>114</v>
      </c>
      <c r="B31" s="84">
        <v>3153</v>
      </c>
      <c r="C31" s="82">
        <v>-234.6</v>
      </c>
      <c r="D31" s="82">
        <f>-'ІІ. Розр. з бюджетом'!D27</f>
        <v>-218</v>
      </c>
      <c r="E31" s="82" t="s">
        <v>51</v>
      </c>
      <c r="F31" s="82">
        <f>-'ІІ. Розр. з бюджетом'!F27</f>
        <v>-218</v>
      </c>
      <c r="G31" s="82">
        <f t="shared" si="0"/>
        <v>-218</v>
      </c>
      <c r="H31" s="82">
        <v>0</v>
      </c>
      <c r="I31" s="105">
        <f t="shared" si="3"/>
        <v>-55.199999999999989</v>
      </c>
      <c r="J31" s="103">
        <v>-162.80000000000001</v>
      </c>
      <c r="K31" s="105">
        <f t="shared" si="1"/>
        <v>-162.80000000000001</v>
      </c>
    </row>
    <row r="32" spans="1:15" s="5" customFormat="1" ht="12.95" customHeight="1" x14ac:dyDescent="0.2">
      <c r="A32" s="76" t="s">
        <v>295</v>
      </c>
      <c r="B32" s="84">
        <v>3154</v>
      </c>
      <c r="C32" s="82" t="s">
        <v>51</v>
      </c>
      <c r="D32" s="82" t="s">
        <v>51</v>
      </c>
      <c r="E32" s="82" t="s">
        <v>51</v>
      </c>
      <c r="F32" s="82" t="s">
        <v>51</v>
      </c>
      <c r="G32" s="82">
        <f t="shared" si="0"/>
        <v>0</v>
      </c>
      <c r="H32" s="82">
        <v>0</v>
      </c>
      <c r="I32" s="105">
        <f t="shared" si="3"/>
        <v>0</v>
      </c>
      <c r="J32" s="103" t="s">
        <v>51</v>
      </c>
      <c r="K32" s="105">
        <f t="shared" si="1"/>
        <v>0</v>
      </c>
    </row>
    <row r="33" spans="1:11" s="5" customFormat="1" ht="12.95" customHeight="1" x14ac:dyDescent="0.2">
      <c r="A33" s="76" t="s">
        <v>264</v>
      </c>
      <c r="B33" s="84">
        <v>3155</v>
      </c>
      <c r="C33" s="82">
        <v>-25818.5</v>
      </c>
      <c r="D33" s="82">
        <f>-'ІІ. Розр. з бюджетом'!D31-'ІІ. Розр. з бюджетом'!D35</f>
        <v>-30037.599999999999</v>
      </c>
      <c r="E33" s="82">
        <v>-26656</v>
      </c>
      <c r="F33" s="82">
        <f>-'ІІ. Розр. з бюджетом'!F31-'ІІ. Розр. з бюджетом'!F35</f>
        <v>-30037.599999999999</v>
      </c>
      <c r="G33" s="82">
        <f t="shared" si="0"/>
        <v>-3381.5999999999985</v>
      </c>
      <c r="H33" s="82">
        <f>F33/E33*100</f>
        <v>112.68607442977189</v>
      </c>
      <c r="I33" s="105">
        <f t="shared" si="3"/>
        <v>-6773.5999999999985</v>
      </c>
      <c r="J33" s="103">
        <v>-23264</v>
      </c>
      <c r="K33" s="105">
        <f t="shared" si="1"/>
        <v>-23264</v>
      </c>
    </row>
    <row r="34" spans="1:11" s="5" customFormat="1" ht="12.95" customHeight="1" x14ac:dyDescent="0.2">
      <c r="A34" s="76" t="s">
        <v>296</v>
      </c>
      <c r="B34" s="84">
        <v>3156</v>
      </c>
      <c r="C34" s="82">
        <f>SUM(C35:C36)</f>
        <v>0</v>
      </c>
      <c r="D34" s="82">
        <f>SUM(D35:D36)</f>
        <v>-3614</v>
      </c>
      <c r="E34" s="82">
        <v>-5420</v>
      </c>
      <c r="F34" s="82">
        <f>SUM(F35:F36)</f>
        <v>-3614</v>
      </c>
      <c r="G34" s="82">
        <f t="shared" si="0"/>
        <v>1806</v>
      </c>
      <c r="H34" s="82" t="s">
        <v>426</v>
      </c>
      <c r="I34" s="105">
        <f t="shared" si="3"/>
        <v>0</v>
      </c>
      <c r="J34" s="103">
        <v>-3614</v>
      </c>
      <c r="K34" s="105">
        <f t="shared" si="1"/>
        <v>-3614</v>
      </c>
    </row>
    <row r="35" spans="1:11" s="5" customFormat="1" ht="25.5" customHeight="1" x14ac:dyDescent="0.2">
      <c r="A35" s="75" t="s">
        <v>515</v>
      </c>
      <c r="B35" s="86" t="s">
        <v>514</v>
      </c>
      <c r="C35" s="4" t="s">
        <v>51</v>
      </c>
      <c r="D35" s="82" t="s">
        <v>51</v>
      </c>
      <c r="E35" s="82" t="s">
        <v>51</v>
      </c>
      <c r="F35" s="82" t="s">
        <v>51</v>
      </c>
      <c r="G35" s="82">
        <f t="shared" si="0"/>
        <v>0</v>
      </c>
      <c r="H35" s="82" t="s">
        <v>426</v>
      </c>
      <c r="I35" s="105">
        <f t="shared" si="3"/>
        <v>0</v>
      </c>
      <c r="J35" s="103" t="s">
        <v>51</v>
      </c>
      <c r="K35" s="105">
        <f t="shared" si="1"/>
        <v>0</v>
      </c>
    </row>
    <row r="36" spans="1:11" s="5" customFormat="1" ht="39.75" customHeight="1" x14ac:dyDescent="0.2">
      <c r="A36" s="75" t="s">
        <v>517</v>
      </c>
      <c r="B36" s="86" t="s">
        <v>516</v>
      </c>
      <c r="C36" s="4">
        <v>0</v>
      </c>
      <c r="D36" s="82">
        <f>-'ІІ. Розр. з бюджетом'!D42</f>
        <v>-3614</v>
      </c>
      <c r="E36" s="82">
        <v>-5420</v>
      </c>
      <c r="F36" s="82">
        <f>-'ІІ. Розр. з бюджетом'!F42</f>
        <v>-3614</v>
      </c>
      <c r="G36" s="82">
        <f>F36-E36</f>
        <v>1806</v>
      </c>
      <c r="H36" s="82" t="s">
        <v>426</v>
      </c>
      <c r="I36" s="105">
        <f t="shared" si="3"/>
        <v>0</v>
      </c>
      <c r="J36" s="103">
        <v>-3614</v>
      </c>
      <c r="K36" s="105">
        <f t="shared" si="1"/>
        <v>-3614</v>
      </c>
    </row>
    <row r="37" spans="1:11" s="5" customFormat="1" ht="12.95" customHeight="1" x14ac:dyDescent="0.2">
      <c r="A37" s="75" t="s">
        <v>518</v>
      </c>
      <c r="B37" s="84">
        <v>3157</v>
      </c>
      <c r="C37" s="82">
        <f>SUM(C38:C41)</f>
        <v>-15492.2</v>
      </c>
      <c r="D37" s="82">
        <f>SUM(D38:D41)</f>
        <v>-17413.3</v>
      </c>
      <c r="E37" s="82">
        <f>SUM(E38:E41)</f>
        <v>-11622</v>
      </c>
      <c r="F37" s="82">
        <f>SUM(F38:F41)</f>
        <v>-17413.3</v>
      </c>
      <c r="G37" s="82">
        <f t="shared" si="0"/>
        <v>-5791.2999999999993</v>
      </c>
      <c r="H37" s="82">
        <f>F37/E37*100</f>
        <v>149.83049389089658</v>
      </c>
      <c r="I37" s="105">
        <f t="shared" si="3"/>
        <v>-4313.3999999999996</v>
      </c>
      <c r="J37" s="103">
        <v>-13099.9</v>
      </c>
      <c r="K37" s="105">
        <f t="shared" si="1"/>
        <v>-13099.9</v>
      </c>
    </row>
    <row r="38" spans="1:11" s="5" customFormat="1" ht="12.95" customHeight="1" x14ac:dyDescent="0.2">
      <c r="A38" s="75" t="s">
        <v>479</v>
      </c>
      <c r="B38" s="86" t="s">
        <v>519</v>
      </c>
      <c r="C38" s="82">
        <v>-2169.4</v>
      </c>
      <c r="D38" s="82">
        <f>-'ІІ. Розр. з бюджетом'!D33</f>
        <v>-2490.6</v>
      </c>
      <c r="E38" s="82">
        <f>-'ІІ. Розр. з бюджетом'!E33</f>
        <v>-2222</v>
      </c>
      <c r="F38" s="82">
        <f>-'ІІ. Розр. з бюджетом'!F33</f>
        <v>-2490.6</v>
      </c>
      <c r="G38" s="82">
        <f t="shared" si="0"/>
        <v>-268.59999999999991</v>
      </c>
      <c r="H38" s="82">
        <f>F38/E38*100</f>
        <v>112.08820882088209</v>
      </c>
      <c r="I38" s="105">
        <f t="shared" si="3"/>
        <v>-509.59999999999991</v>
      </c>
      <c r="J38" s="103">
        <v>-1981</v>
      </c>
      <c r="K38" s="105">
        <f t="shared" si="1"/>
        <v>-1981</v>
      </c>
    </row>
    <row r="39" spans="1:11" s="5" customFormat="1" ht="12.95" customHeight="1" x14ac:dyDescent="0.2">
      <c r="A39" s="77" t="s">
        <v>267</v>
      </c>
      <c r="B39" s="86" t="s">
        <v>520</v>
      </c>
      <c r="C39" s="82">
        <v>-10662.5</v>
      </c>
      <c r="D39" s="82">
        <f>-'ІІ. Розр. з бюджетом'!D36</f>
        <v>-11540</v>
      </c>
      <c r="E39" s="82">
        <f>-'ІІ. Розр. з бюджетом'!E36</f>
        <v>-6750</v>
      </c>
      <c r="F39" s="82">
        <f>-'ІІ. Розр. з бюджетом'!F36</f>
        <v>-11540</v>
      </c>
      <c r="G39" s="82">
        <f t="shared" si="0"/>
        <v>-4790</v>
      </c>
      <c r="H39" s="82">
        <f>F39/E39*100</f>
        <v>170.96296296296296</v>
      </c>
      <c r="I39" s="105">
        <f t="shared" si="3"/>
        <v>-2969.7000000000007</v>
      </c>
      <c r="J39" s="103">
        <v>-8570.2999999999993</v>
      </c>
      <c r="K39" s="105">
        <f t="shared" si="1"/>
        <v>-8570.2999999999993</v>
      </c>
    </row>
    <row r="40" spans="1:11" s="5" customFormat="1" ht="12.95" customHeight="1" x14ac:dyDescent="0.2">
      <c r="A40" s="77" t="s">
        <v>269</v>
      </c>
      <c r="B40" s="86" t="s">
        <v>521</v>
      </c>
      <c r="C40" s="82">
        <v>-2525.8000000000002</v>
      </c>
      <c r="D40" s="82">
        <f>-'ІІ. Розр. з бюджетом'!D39</f>
        <v>-2901.9</v>
      </c>
      <c r="E40" s="82">
        <f>-'ІІ. Розр. з бюджетом'!E39</f>
        <v>-1700</v>
      </c>
      <c r="F40" s="82">
        <f>-'ІІ. Розр. з бюджетом'!F39</f>
        <v>-2901.9</v>
      </c>
      <c r="G40" s="82">
        <f t="shared" si="0"/>
        <v>-1201.9000000000001</v>
      </c>
      <c r="H40" s="82">
        <f>F40/E40*100</f>
        <v>170.70000000000002</v>
      </c>
      <c r="I40" s="105">
        <f t="shared" si="3"/>
        <v>-743.30000000000018</v>
      </c>
      <c r="J40" s="103">
        <v>-2158.6</v>
      </c>
      <c r="K40" s="105">
        <f t="shared" si="1"/>
        <v>-2158.6</v>
      </c>
    </row>
    <row r="41" spans="1:11" s="5" customFormat="1" ht="15" customHeight="1" x14ac:dyDescent="0.2">
      <c r="A41" s="75" t="s">
        <v>489</v>
      </c>
      <c r="B41" s="86" t="s">
        <v>522</v>
      </c>
      <c r="C41" s="82">
        <v>-134.5</v>
      </c>
      <c r="D41" s="82">
        <f>-'ІІ. Розр. з бюджетом'!D40-'ІІ. Розр. з бюджетом'!D48</f>
        <v>-480.80000000000007</v>
      </c>
      <c r="E41" s="82">
        <v>-950</v>
      </c>
      <c r="F41" s="82">
        <f>-'ІІ. Розр. з бюджетом'!F40-'ІІ. Розр. з бюджетом'!F48</f>
        <v>-480.80000000000007</v>
      </c>
      <c r="G41" s="82">
        <f>F41-E41</f>
        <v>469.19999999999993</v>
      </c>
      <c r="H41" s="82">
        <f>F41/E41*100</f>
        <v>50.610526315789485</v>
      </c>
      <c r="I41" s="105">
        <f t="shared" si="3"/>
        <v>-90.800000000000068</v>
      </c>
      <c r="J41" s="103">
        <v>-390</v>
      </c>
      <c r="K41" s="105">
        <f t="shared" si="1"/>
        <v>-390</v>
      </c>
    </row>
    <row r="42" spans="1:11" s="5" customFormat="1" ht="12.95" customHeight="1" x14ac:dyDescent="0.2">
      <c r="A42" s="76" t="s">
        <v>298</v>
      </c>
      <c r="B42" s="84">
        <v>3160</v>
      </c>
      <c r="C42" s="82" t="s">
        <v>51</v>
      </c>
      <c r="D42" s="82" t="s">
        <v>51</v>
      </c>
      <c r="E42" s="82" t="s">
        <v>51</v>
      </c>
      <c r="F42" s="82" t="s">
        <v>51</v>
      </c>
      <c r="G42" s="82">
        <f t="shared" si="0"/>
        <v>0</v>
      </c>
      <c r="H42" s="82">
        <v>0</v>
      </c>
      <c r="I42" s="105">
        <f t="shared" si="3"/>
        <v>0</v>
      </c>
      <c r="J42" s="103" t="s">
        <v>51</v>
      </c>
      <c r="K42" s="105">
        <f t="shared" si="1"/>
        <v>0</v>
      </c>
    </row>
    <row r="43" spans="1:11" s="5" customFormat="1" ht="12.95" customHeight="1" x14ac:dyDescent="0.2">
      <c r="A43" s="75" t="s">
        <v>523</v>
      </c>
      <c r="B43" s="84">
        <v>3170</v>
      </c>
      <c r="C43" s="82">
        <f>SUM(C44:C45)</f>
        <v>-123815</v>
      </c>
      <c r="D43" s="82">
        <f>D44+D45</f>
        <v>-116368.8</v>
      </c>
      <c r="E43" s="82">
        <f>E44+E45</f>
        <v>0</v>
      </c>
      <c r="F43" s="82">
        <f>F44+F45</f>
        <v>-116368.8</v>
      </c>
      <c r="G43" s="82">
        <f t="shared" si="0"/>
        <v>-116368.8</v>
      </c>
      <c r="H43" s="82">
        <v>0</v>
      </c>
      <c r="I43" s="105">
        <f t="shared" si="3"/>
        <v>-115278.8</v>
      </c>
      <c r="J43" s="103">
        <v>-1090</v>
      </c>
      <c r="K43" s="105">
        <f t="shared" si="1"/>
        <v>-1090</v>
      </c>
    </row>
    <row r="44" spans="1:11" s="5" customFormat="1" ht="12.95" customHeight="1" x14ac:dyDescent="0.2">
      <c r="A44" s="76" t="s">
        <v>500</v>
      </c>
      <c r="B44" s="79" t="s">
        <v>504</v>
      </c>
      <c r="C44" s="82">
        <v>0</v>
      </c>
      <c r="D44" s="82">
        <v>0</v>
      </c>
      <c r="E44" s="82">
        <v>0</v>
      </c>
      <c r="F44" s="82">
        <v>0</v>
      </c>
      <c r="G44" s="82">
        <f>F44-E44</f>
        <v>0</v>
      </c>
      <c r="H44" s="82">
        <v>0</v>
      </c>
      <c r="I44" s="105">
        <f t="shared" si="3"/>
        <v>0</v>
      </c>
      <c r="J44" s="103">
        <v>0</v>
      </c>
      <c r="K44" s="105">
        <f t="shared" si="1"/>
        <v>0</v>
      </c>
    </row>
    <row r="45" spans="1:11" s="5" customFormat="1" ht="12.95" customHeight="1" x14ac:dyDescent="0.2">
      <c r="A45" s="75" t="s">
        <v>241</v>
      </c>
      <c r="B45" s="79" t="s">
        <v>501</v>
      </c>
      <c r="C45" s="82">
        <v>-123815</v>
      </c>
      <c r="D45" s="82">
        <f>-79058-32375-4811-40-84.8</f>
        <v>-116368.8</v>
      </c>
      <c r="E45" s="82" t="s">
        <v>51</v>
      </c>
      <c r="F45" s="82">
        <f>-79058-32375-4811-40-84.8</f>
        <v>-116368.8</v>
      </c>
      <c r="G45" s="82">
        <f t="shared" si="0"/>
        <v>-116368.8</v>
      </c>
      <c r="H45" s="82">
        <v>0</v>
      </c>
      <c r="I45" s="105">
        <f t="shared" si="3"/>
        <v>-115278.8</v>
      </c>
      <c r="J45" s="103">
        <v>-1090</v>
      </c>
      <c r="K45" s="105">
        <f t="shared" si="1"/>
        <v>-1090</v>
      </c>
    </row>
    <row r="46" spans="1:11" s="5" customFormat="1" ht="12.95" customHeight="1" x14ac:dyDescent="0.2">
      <c r="A46" s="78" t="s">
        <v>126</v>
      </c>
      <c r="B46" s="12">
        <v>3195</v>
      </c>
      <c r="C46" s="91">
        <f>SUM(C7,C20)</f>
        <v>346</v>
      </c>
      <c r="D46" s="91">
        <f>SUM(D7,D20)</f>
        <v>-25420</v>
      </c>
      <c r="E46" s="91">
        <f>SUM(E7,E20)</f>
        <v>-39121</v>
      </c>
      <c r="F46" s="91">
        <f>SUM(F7,F20)</f>
        <v>-25420</v>
      </c>
      <c r="G46" s="91">
        <f>F46-E46</f>
        <v>13701</v>
      </c>
      <c r="H46" s="91">
        <f>F46/E46*100</f>
        <v>64.97788911326397</v>
      </c>
      <c r="I46" s="105">
        <f t="shared" si="3"/>
        <v>-11374</v>
      </c>
      <c r="J46" s="103">
        <v>-14046</v>
      </c>
      <c r="K46" s="105">
        <f t="shared" si="1"/>
        <v>-14046</v>
      </c>
    </row>
    <row r="47" spans="1:11" s="5" customFormat="1" ht="12.95" customHeight="1" x14ac:dyDescent="0.2">
      <c r="A47" s="146" t="s">
        <v>300</v>
      </c>
      <c r="B47" s="146"/>
      <c r="C47" s="146"/>
      <c r="D47" s="146"/>
      <c r="E47" s="146"/>
      <c r="F47" s="146"/>
      <c r="G47" s="146"/>
      <c r="H47" s="146"/>
      <c r="I47" s="105">
        <f t="shared" si="3"/>
        <v>0</v>
      </c>
      <c r="J47" s="103"/>
      <c r="K47" s="105">
        <f t="shared" si="1"/>
        <v>0</v>
      </c>
    </row>
    <row r="48" spans="1:11" s="5" customFormat="1" ht="12.95" customHeight="1" x14ac:dyDescent="0.2">
      <c r="A48" s="78" t="s">
        <v>301</v>
      </c>
      <c r="B48" s="12">
        <v>3200</v>
      </c>
      <c r="C48" s="91">
        <f>SUM(C49:C55)</f>
        <v>23258</v>
      </c>
      <c r="D48" s="91">
        <f>SUM(D49:D55)</f>
        <v>22922</v>
      </c>
      <c r="E48" s="91">
        <f>SUM(E49:E55)</f>
        <v>74260</v>
      </c>
      <c r="F48" s="91">
        <f>SUM(F49:F55)</f>
        <v>22922</v>
      </c>
      <c r="G48" s="91">
        <f>F48-E48</f>
        <v>-51338</v>
      </c>
      <c r="H48" s="91">
        <f>F48/E48*100</f>
        <v>30.867223269593318</v>
      </c>
      <c r="I48" s="105">
        <f t="shared" si="3"/>
        <v>11849.800000000001</v>
      </c>
      <c r="J48" s="103">
        <v>11072.199999999999</v>
      </c>
      <c r="K48" s="105">
        <f t="shared" si="1"/>
        <v>11072.199999999999</v>
      </c>
    </row>
    <row r="49" spans="1:11" s="5" customFormat="1" ht="12.95" customHeight="1" x14ac:dyDescent="0.2">
      <c r="A49" s="76" t="s">
        <v>524</v>
      </c>
      <c r="B49" s="84">
        <v>3210</v>
      </c>
      <c r="C49" s="82" t="s">
        <v>51</v>
      </c>
      <c r="D49" s="82" t="s">
        <v>51</v>
      </c>
      <c r="E49" s="82" t="s">
        <v>51</v>
      </c>
      <c r="F49" s="82" t="s">
        <v>51</v>
      </c>
      <c r="G49" s="82">
        <f t="shared" ref="G49:G67" si="5">F49-E49</f>
        <v>0</v>
      </c>
      <c r="H49" s="82">
        <v>0</v>
      </c>
      <c r="I49" s="105">
        <f t="shared" si="3"/>
        <v>0</v>
      </c>
      <c r="J49" s="103" t="s">
        <v>51</v>
      </c>
      <c r="K49" s="105">
        <f t="shared" si="1"/>
        <v>0</v>
      </c>
    </row>
    <row r="50" spans="1:11" s="5" customFormat="1" ht="12.95" customHeight="1" x14ac:dyDescent="0.2">
      <c r="A50" s="76" t="s">
        <v>525</v>
      </c>
      <c r="B50" s="84">
        <v>3215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105">
        <f t="shared" si="3"/>
        <v>0</v>
      </c>
      <c r="J50" s="103">
        <v>0</v>
      </c>
      <c r="K50" s="105">
        <f t="shared" si="1"/>
        <v>0</v>
      </c>
    </row>
    <row r="51" spans="1:11" s="5" customFormat="1" ht="12.95" customHeight="1" x14ac:dyDescent="0.2">
      <c r="A51" s="76" t="s">
        <v>526</v>
      </c>
      <c r="B51" s="84">
        <v>3220</v>
      </c>
      <c r="C51" s="82">
        <v>680</v>
      </c>
      <c r="D51" s="82">
        <v>11788</v>
      </c>
      <c r="E51" s="82">
        <v>62515</v>
      </c>
      <c r="F51" s="82">
        <v>11788</v>
      </c>
      <c r="G51" s="82">
        <f t="shared" si="5"/>
        <v>-50727</v>
      </c>
      <c r="H51" s="82">
        <v>0</v>
      </c>
      <c r="I51" s="105">
        <f t="shared" si="3"/>
        <v>830.70000000000073</v>
      </c>
      <c r="J51" s="103">
        <v>10957.3</v>
      </c>
      <c r="K51" s="105">
        <f t="shared" si="1"/>
        <v>10957.3</v>
      </c>
    </row>
    <row r="52" spans="1:11" s="5" customFormat="1" ht="12.95" customHeight="1" x14ac:dyDescent="0.2">
      <c r="A52" s="76" t="s">
        <v>527</v>
      </c>
      <c r="B52" s="84">
        <v>3225</v>
      </c>
      <c r="C52" s="82">
        <v>0</v>
      </c>
      <c r="D52" s="82">
        <v>0</v>
      </c>
      <c r="E52" s="82">
        <v>0</v>
      </c>
      <c r="F52" s="82">
        <v>0</v>
      </c>
      <c r="G52" s="82">
        <f t="shared" si="5"/>
        <v>0</v>
      </c>
      <c r="H52" s="82">
        <v>0</v>
      </c>
      <c r="I52" s="105">
        <f t="shared" si="3"/>
        <v>-114.9</v>
      </c>
      <c r="J52" s="103">
        <v>114.9</v>
      </c>
      <c r="K52" s="105">
        <f t="shared" si="1"/>
        <v>114.9</v>
      </c>
    </row>
    <row r="53" spans="1:11" s="5" customFormat="1" ht="12.95" customHeight="1" x14ac:dyDescent="0.2">
      <c r="A53" s="75" t="s">
        <v>528</v>
      </c>
      <c r="B53" s="84">
        <v>3230</v>
      </c>
      <c r="C53" s="82" t="s">
        <v>51</v>
      </c>
      <c r="D53" s="82">
        <v>10358</v>
      </c>
      <c r="E53" s="82">
        <v>11745</v>
      </c>
      <c r="F53" s="82">
        <v>10358</v>
      </c>
      <c r="G53" s="82">
        <f t="shared" si="5"/>
        <v>-1387</v>
      </c>
      <c r="H53" s="82">
        <v>0</v>
      </c>
      <c r="I53" s="105">
        <f t="shared" si="3"/>
        <v>10358</v>
      </c>
      <c r="J53" s="103" t="s">
        <v>51</v>
      </c>
      <c r="K53" s="105">
        <f t="shared" si="1"/>
        <v>0</v>
      </c>
    </row>
    <row r="54" spans="1:11" s="5" customFormat="1" ht="12.95" customHeight="1" x14ac:dyDescent="0.2">
      <c r="A54" s="75" t="s">
        <v>529</v>
      </c>
      <c r="B54" s="84">
        <v>3235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105">
        <f t="shared" si="3"/>
        <v>0</v>
      </c>
      <c r="J54" s="103">
        <v>0</v>
      </c>
      <c r="K54" s="105">
        <f t="shared" si="1"/>
        <v>0</v>
      </c>
    </row>
    <row r="55" spans="1:11" s="5" customFormat="1" ht="12.95" customHeight="1" x14ac:dyDescent="0.2">
      <c r="A55" s="76" t="s">
        <v>288</v>
      </c>
      <c r="B55" s="84">
        <v>3240</v>
      </c>
      <c r="C55" s="82">
        <f>SUM(C56:C56)</f>
        <v>22578</v>
      </c>
      <c r="D55" s="82">
        <f>SUM(D56:D56)</f>
        <v>776</v>
      </c>
      <c r="E55" s="82">
        <f>SUM(E56:E56)</f>
        <v>0</v>
      </c>
      <c r="F55" s="82">
        <f>SUM(F56:F56)</f>
        <v>776</v>
      </c>
      <c r="G55" s="82">
        <f t="shared" si="5"/>
        <v>776</v>
      </c>
      <c r="H55" s="82">
        <v>0</v>
      </c>
      <c r="I55" s="105">
        <f t="shared" si="3"/>
        <v>776</v>
      </c>
      <c r="J55" s="103">
        <v>0</v>
      </c>
      <c r="K55" s="105">
        <f t="shared" si="1"/>
        <v>0</v>
      </c>
    </row>
    <row r="56" spans="1:11" s="5" customFormat="1" ht="12.95" customHeight="1" x14ac:dyDescent="0.2">
      <c r="A56" s="75" t="s">
        <v>489</v>
      </c>
      <c r="B56" s="79" t="s">
        <v>487</v>
      </c>
      <c r="C56" s="82">
        <v>22578</v>
      </c>
      <c r="D56" s="82">
        <v>776</v>
      </c>
      <c r="E56" s="82" t="s">
        <v>51</v>
      </c>
      <c r="F56" s="82">
        <v>776</v>
      </c>
      <c r="G56" s="82">
        <f t="shared" si="5"/>
        <v>776</v>
      </c>
      <c r="H56" s="82">
        <v>0</v>
      </c>
      <c r="I56" s="105">
        <f t="shared" si="3"/>
        <v>776</v>
      </c>
      <c r="J56" s="103">
        <v>0</v>
      </c>
      <c r="K56" s="105">
        <f t="shared" si="1"/>
        <v>0</v>
      </c>
    </row>
    <row r="57" spans="1:11" s="5" customFormat="1" ht="12.95" customHeight="1" x14ac:dyDescent="0.2">
      <c r="A57" s="38" t="s">
        <v>530</v>
      </c>
      <c r="B57" s="12">
        <v>3255</v>
      </c>
      <c r="C57" s="91">
        <f>C58+C60+C64+C65</f>
        <v>-25201</v>
      </c>
      <c r="D57" s="91">
        <f>D58+D60+D64+D65</f>
        <v>-5513</v>
      </c>
      <c r="E57" s="91">
        <f>E58+E60+E64+E65</f>
        <v>-28166</v>
      </c>
      <c r="F57" s="91">
        <f>F58+F60+F64+F65</f>
        <v>-5513</v>
      </c>
      <c r="G57" s="91">
        <f t="shared" si="5"/>
        <v>22653</v>
      </c>
      <c r="H57" s="91">
        <f>F57/E57*100</f>
        <v>19.573244337144075</v>
      </c>
      <c r="I57" s="105">
        <f t="shared" si="3"/>
        <v>2.1999999999998181</v>
      </c>
      <c r="J57" s="103">
        <v>-5515.2</v>
      </c>
      <c r="K57" s="105">
        <f t="shared" si="1"/>
        <v>-5515.2</v>
      </c>
    </row>
    <row r="58" spans="1:11" s="5" customFormat="1" ht="12.95" customHeight="1" x14ac:dyDescent="0.2">
      <c r="A58" s="76" t="s">
        <v>531</v>
      </c>
      <c r="B58" s="84">
        <v>3260</v>
      </c>
      <c r="C58" s="82">
        <v>0</v>
      </c>
      <c r="D58" s="82">
        <v>0</v>
      </c>
      <c r="E58" s="82">
        <f>SUM(E59:E59)</f>
        <v>0</v>
      </c>
      <c r="F58" s="82">
        <v>0</v>
      </c>
      <c r="G58" s="82">
        <f t="shared" si="5"/>
        <v>0</v>
      </c>
      <c r="H58" s="82" t="s">
        <v>426</v>
      </c>
      <c r="I58" s="105">
        <f t="shared" si="3"/>
        <v>0</v>
      </c>
      <c r="J58" s="103">
        <v>0</v>
      </c>
      <c r="K58" s="105">
        <f t="shared" si="1"/>
        <v>0</v>
      </c>
    </row>
    <row r="59" spans="1:11" s="5" customFormat="1" ht="12.95" customHeight="1" x14ac:dyDescent="0.2">
      <c r="A59" s="77" t="s">
        <v>532</v>
      </c>
      <c r="B59" s="79">
        <v>3265</v>
      </c>
      <c r="C59" s="82">
        <v>0</v>
      </c>
      <c r="D59" s="82">
        <v>0</v>
      </c>
      <c r="E59" s="82">
        <v>0</v>
      </c>
      <c r="F59" s="82">
        <v>0</v>
      </c>
      <c r="G59" s="82">
        <f t="shared" si="5"/>
        <v>0</v>
      </c>
      <c r="H59" s="82" t="s">
        <v>426</v>
      </c>
      <c r="I59" s="105">
        <f t="shared" si="3"/>
        <v>0</v>
      </c>
      <c r="J59" s="103">
        <v>0</v>
      </c>
      <c r="K59" s="105">
        <f t="shared" si="1"/>
        <v>0</v>
      </c>
    </row>
    <row r="60" spans="1:11" s="5" customFormat="1" ht="12.95" customHeight="1" x14ac:dyDescent="0.2">
      <c r="A60" s="76" t="s">
        <v>533</v>
      </c>
      <c r="B60" s="84">
        <v>3270</v>
      </c>
      <c r="C60" s="82">
        <f>C61+C62+C63</f>
        <v>-25201</v>
      </c>
      <c r="D60" s="82">
        <f>D61+D62+D63</f>
        <v>-5513</v>
      </c>
      <c r="E60" s="82">
        <f>E61+E62+E63</f>
        <v>-20480</v>
      </c>
      <c r="F60" s="82">
        <f>F61+F62+F63</f>
        <v>-5513</v>
      </c>
      <c r="G60" s="82">
        <f t="shared" si="5"/>
        <v>14967</v>
      </c>
      <c r="H60" s="82">
        <f>F60/E60*100</f>
        <v>26.918945312499996</v>
      </c>
      <c r="I60" s="105">
        <f t="shared" si="3"/>
        <v>2.1999999999998181</v>
      </c>
      <c r="J60" s="103">
        <v>-5515.2</v>
      </c>
      <c r="K60" s="105">
        <f t="shared" si="1"/>
        <v>-5515.2</v>
      </c>
    </row>
    <row r="61" spans="1:11" s="5" customFormat="1" ht="12.95" customHeight="1" x14ac:dyDescent="0.2">
      <c r="A61" s="77" t="s">
        <v>534</v>
      </c>
      <c r="B61" s="86" t="s">
        <v>485</v>
      </c>
      <c r="C61" s="82">
        <v>-25201</v>
      </c>
      <c r="D61" s="82">
        <v>-4296</v>
      </c>
      <c r="E61" s="82">
        <v>-13128</v>
      </c>
      <c r="F61" s="82">
        <v>-4296</v>
      </c>
      <c r="G61" s="82">
        <f t="shared" si="5"/>
        <v>8832</v>
      </c>
      <c r="H61" s="82">
        <f>F61/E61*100</f>
        <v>32.723948811700183</v>
      </c>
      <c r="I61" s="105">
        <f t="shared" si="3"/>
        <v>0</v>
      </c>
      <c r="J61" s="103">
        <v>-4296</v>
      </c>
      <c r="K61" s="105">
        <f t="shared" si="1"/>
        <v>-4296</v>
      </c>
    </row>
    <row r="62" spans="1:11" s="5" customFormat="1" ht="12.95" customHeight="1" x14ac:dyDescent="0.2">
      <c r="A62" s="76" t="s">
        <v>535</v>
      </c>
      <c r="B62" s="86" t="s">
        <v>538</v>
      </c>
      <c r="C62" s="82">
        <v>0</v>
      </c>
      <c r="D62" s="82">
        <f>-'IV. Кап. інвестиції'!D7*1.2</f>
        <v>0</v>
      </c>
      <c r="E62" s="82">
        <v>-5000</v>
      </c>
      <c r="F62" s="82">
        <f>-'IV. Кап. інвестиції'!F7*1.2</f>
        <v>0</v>
      </c>
      <c r="G62" s="82">
        <f t="shared" si="5"/>
        <v>5000</v>
      </c>
      <c r="H62" s="82">
        <v>0</v>
      </c>
      <c r="I62" s="105">
        <f t="shared" si="3"/>
        <v>0</v>
      </c>
      <c r="J62" s="103">
        <v>0</v>
      </c>
      <c r="K62" s="105">
        <f t="shared" si="1"/>
        <v>0</v>
      </c>
    </row>
    <row r="63" spans="1:11" s="5" customFormat="1" ht="12.95" customHeight="1" x14ac:dyDescent="0.2">
      <c r="A63" s="77" t="s">
        <v>536</v>
      </c>
      <c r="B63" s="86" t="s">
        <v>539</v>
      </c>
      <c r="C63" s="82">
        <v>0</v>
      </c>
      <c r="D63" s="82">
        <v>-1217</v>
      </c>
      <c r="E63" s="82">
        <v>-2352</v>
      </c>
      <c r="F63" s="82">
        <v>-1217</v>
      </c>
      <c r="G63" s="82">
        <f t="shared" si="5"/>
        <v>1135</v>
      </c>
      <c r="H63" s="82">
        <f>F63/E63*100</f>
        <v>51.743197278911566</v>
      </c>
      <c r="I63" s="105">
        <f t="shared" si="3"/>
        <v>2.2000000000000455</v>
      </c>
      <c r="J63" s="103">
        <v>-1219.2</v>
      </c>
      <c r="K63" s="105">
        <f t="shared" si="1"/>
        <v>-1219.2</v>
      </c>
    </row>
    <row r="64" spans="1:11" s="5" customFormat="1" ht="12.95" customHeight="1" x14ac:dyDescent="0.2">
      <c r="A64" s="76" t="s">
        <v>537</v>
      </c>
      <c r="B64" s="84">
        <v>3280</v>
      </c>
      <c r="C64" s="82" t="s">
        <v>51</v>
      </c>
      <c r="D64" s="82" t="s">
        <v>51</v>
      </c>
      <c r="E64" s="82" t="s">
        <v>51</v>
      </c>
      <c r="F64" s="82" t="s">
        <v>51</v>
      </c>
      <c r="G64" s="82">
        <f t="shared" si="5"/>
        <v>0</v>
      </c>
      <c r="H64" s="82">
        <v>0</v>
      </c>
      <c r="I64" s="105">
        <f t="shared" si="3"/>
        <v>0</v>
      </c>
      <c r="J64" s="103" t="s">
        <v>51</v>
      </c>
      <c r="K64" s="105">
        <f t="shared" si="1"/>
        <v>0</v>
      </c>
    </row>
    <row r="65" spans="1:11" s="5" customFormat="1" ht="12.95" customHeight="1" x14ac:dyDescent="0.2">
      <c r="A65" s="76" t="s">
        <v>518</v>
      </c>
      <c r="B65" s="84">
        <v>3290</v>
      </c>
      <c r="C65" s="82">
        <f>SUM(C66:C66)</f>
        <v>0</v>
      </c>
      <c r="D65" s="82">
        <f>SUM(D66:D66)</f>
        <v>0</v>
      </c>
      <c r="E65" s="82">
        <f>SUM(E66:E66)</f>
        <v>-7686</v>
      </c>
      <c r="F65" s="82">
        <f>SUM(F66:F66)</f>
        <v>0</v>
      </c>
      <c r="G65" s="82">
        <f t="shared" si="5"/>
        <v>7686</v>
      </c>
      <c r="H65" s="82">
        <v>0</v>
      </c>
      <c r="I65" s="105">
        <f t="shared" si="3"/>
        <v>0</v>
      </c>
      <c r="J65" s="103">
        <v>0</v>
      </c>
      <c r="K65" s="105">
        <f t="shared" si="1"/>
        <v>0</v>
      </c>
    </row>
    <row r="66" spans="1:11" s="5" customFormat="1" ht="12.95" customHeight="1" x14ac:dyDescent="0.2">
      <c r="A66" s="77" t="s">
        <v>194</v>
      </c>
      <c r="B66" s="86" t="s">
        <v>540</v>
      </c>
      <c r="C66" s="82">
        <v>0</v>
      </c>
      <c r="D66" s="82">
        <v>0</v>
      </c>
      <c r="E66" s="82">
        <v>-7686</v>
      </c>
      <c r="F66" s="82">
        <v>0</v>
      </c>
      <c r="G66" s="82">
        <f t="shared" si="5"/>
        <v>7686</v>
      </c>
      <c r="H66" s="82">
        <v>0</v>
      </c>
      <c r="I66" s="105">
        <f t="shared" si="3"/>
        <v>0</v>
      </c>
      <c r="J66" s="103">
        <v>0</v>
      </c>
      <c r="K66" s="105">
        <f t="shared" si="1"/>
        <v>0</v>
      </c>
    </row>
    <row r="67" spans="1:11" s="5" customFormat="1" ht="12.95" customHeight="1" x14ac:dyDescent="0.2">
      <c r="A67" s="78" t="s">
        <v>127</v>
      </c>
      <c r="B67" s="12">
        <v>3295</v>
      </c>
      <c r="C67" s="91">
        <f>SUM(C48,C57)</f>
        <v>-1943</v>
      </c>
      <c r="D67" s="91">
        <f>SUM(D48,D57)</f>
        <v>17409</v>
      </c>
      <c r="E67" s="91">
        <f>SUM(E48,E57)</f>
        <v>46094</v>
      </c>
      <c r="F67" s="91">
        <f>SUM(F48,F57)</f>
        <v>17409</v>
      </c>
      <c r="G67" s="91">
        <f t="shared" si="5"/>
        <v>-28685</v>
      </c>
      <c r="H67" s="91">
        <f>F67/E67*100</f>
        <v>37.768473120145792</v>
      </c>
      <c r="I67" s="105">
        <f t="shared" si="3"/>
        <v>11852</v>
      </c>
      <c r="J67" s="103">
        <v>5556.9999999999991</v>
      </c>
      <c r="K67" s="105">
        <f t="shared" si="1"/>
        <v>5557</v>
      </c>
    </row>
    <row r="68" spans="1:11" s="5" customFormat="1" ht="12.95" customHeight="1" x14ac:dyDescent="0.2">
      <c r="A68" s="146" t="s">
        <v>302</v>
      </c>
      <c r="B68" s="146"/>
      <c r="C68" s="146"/>
      <c r="D68" s="146"/>
      <c r="E68" s="146"/>
      <c r="F68" s="146"/>
      <c r="G68" s="146"/>
      <c r="H68" s="146"/>
      <c r="I68" s="105">
        <f t="shared" si="3"/>
        <v>0</v>
      </c>
      <c r="J68" s="103"/>
      <c r="K68" s="105">
        <f t="shared" si="1"/>
        <v>0</v>
      </c>
    </row>
    <row r="69" spans="1:11" s="5" customFormat="1" ht="12.95" customHeight="1" x14ac:dyDescent="0.2">
      <c r="A69" s="78" t="s">
        <v>303</v>
      </c>
      <c r="B69" s="12">
        <v>3300</v>
      </c>
      <c r="C69" s="91">
        <f>C70+C71+C75</f>
        <v>0</v>
      </c>
      <c r="D69" s="91">
        <f>D70+D71+D75</f>
        <v>0</v>
      </c>
      <c r="E69" s="91">
        <f>E70+E71+E75</f>
        <v>0</v>
      </c>
      <c r="F69" s="91">
        <f>F70+F71+F75</f>
        <v>0</v>
      </c>
      <c r="G69" s="91">
        <f>F69-E69</f>
        <v>0</v>
      </c>
      <c r="H69" s="91">
        <v>0</v>
      </c>
      <c r="I69" s="105">
        <f t="shared" si="3"/>
        <v>0</v>
      </c>
      <c r="J69" s="103">
        <v>0</v>
      </c>
      <c r="K69" s="105">
        <f t="shared" si="1"/>
        <v>0</v>
      </c>
    </row>
    <row r="70" spans="1:11" s="5" customFormat="1" ht="12.95" customHeight="1" x14ac:dyDescent="0.2">
      <c r="A70" s="76" t="s">
        <v>304</v>
      </c>
      <c r="B70" s="84">
        <v>3305</v>
      </c>
      <c r="C70" s="82" t="s">
        <v>51</v>
      </c>
      <c r="D70" s="82" t="s">
        <v>51</v>
      </c>
      <c r="E70" s="82" t="s">
        <v>51</v>
      </c>
      <c r="F70" s="82" t="s">
        <v>51</v>
      </c>
      <c r="G70" s="82">
        <f t="shared" ref="G70:G90" si="6">F70-E70</f>
        <v>0</v>
      </c>
      <c r="H70" s="82">
        <v>0</v>
      </c>
      <c r="I70" s="105">
        <f t="shared" si="3"/>
        <v>0</v>
      </c>
      <c r="J70" s="103" t="s">
        <v>51</v>
      </c>
      <c r="K70" s="105">
        <f t="shared" si="1"/>
        <v>0</v>
      </c>
    </row>
    <row r="71" spans="1:11" s="5" customFormat="1" ht="12.95" customHeight="1" x14ac:dyDescent="0.2">
      <c r="A71" s="76" t="s">
        <v>305</v>
      </c>
      <c r="B71" s="84">
        <v>3310</v>
      </c>
      <c r="C71" s="82">
        <f>SUM(C72:C74)</f>
        <v>0</v>
      </c>
      <c r="D71" s="82">
        <f>SUM(D72:D74)</f>
        <v>0</v>
      </c>
      <c r="E71" s="82">
        <f>SUM(E72:E74)</f>
        <v>0</v>
      </c>
      <c r="F71" s="82">
        <f>SUM(F72:F74)</f>
        <v>0</v>
      </c>
      <c r="G71" s="82">
        <f t="shared" si="6"/>
        <v>0</v>
      </c>
      <c r="H71" s="82">
        <v>0</v>
      </c>
      <c r="I71" s="105">
        <f t="shared" si="3"/>
        <v>0</v>
      </c>
      <c r="J71" s="103">
        <v>0</v>
      </c>
      <c r="K71" s="105">
        <f t="shared" si="1"/>
        <v>0</v>
      </c>
    </row>
    <row r="72" spans="1:11" s="5" customFormat="1" ht="12.95" customHeight="1" x14ac:dyDescent="0.2">
      <c r="A72" s="76" t="s">
        <v>285</v>
      </c>
      <c r="B72" s="84">
        <v>3311</v>
      </c>
      <c r="C72" s="82" t="s">
        <v>51</v>
      </c>
      <c r="D72" s="82" t="s">
        <v>51</v>
      </c>
      <c r="E72" s="82" t="s">
        <v>51</v>
      </c>
      <c r="F72" s="82" t="s">
        <v>51</v>
      </c>
      <c r="G72" s="82">
        <f t="shared" si="6"/>
        <v>0</v>
      </c>
      <c r="H72" s="82">
        <v>0</v>
      </c>
      <c r="I72" s="105">
        <f t="shared" ref="I72:I90" si="7">D72-J72</f>
        <v>0</v>
      </c>
      <c r="J72" s="103" t="s">
        <v>51</v>
      </c>
      <c r="K72" s="105">
        <f t="shared" ref="K72:K90" si="8">F72-I72</f>
        <v>0</v>
      </c>
    </row>
    <row r="73" spans="1:11" s="5" customFormat="1" ht="12.95" customHeight="1" x14ac:dyDescent="0.2">
      <c r="A73" s="76" t="s">
        <v>286</v>
      </c>
      <c r="B73" s="84">
        <v>3312</v>
      </c>
      <c r="C73" s="82" t="s">
        <v>51</v>
      </c>
      <c r="D73" s="82">
        <v>0</v>
      </c>
      <c r="E73" s="82" t="s">
        <v>51</v>
      </c>
      <c r="F73" s="82">
        <v>0</v>
      </c>
      <c r="G73" s="82">
        <f t="shared" si="6"/>
        <v>0</v>
      </c>
      <c r="H73" s="82">
        <v>0</v>
      </c>
      <c r="I73" s="105">
        <f t="shared" si="7"/>
        <v>0</v>
      </c>
      <c r="J73" s="103">
        <v>0</v>
      </c>
      <c r="K73" s="105">
        <f t="shared" si="8"/>
        <v>0</v>
      </c>
    </row>
    <row r="74" spans="1:11" s="5" customFormat="1" ht="12.95" customHeight="1" x14ac:dyDescent="0.2">
      <c r="A74" s="76" t="s">
        <v>287</v>
      </c>
      <c r="B74" s="84">
        <v>3313</v>
      </c>
      <c r="C74" s="82" t="s">
        <v>51</v>
      </c>
      <c r="D74" s="82" t="s">
        <v>51</v>
      </c>
      <c r="E74" s="82" t="s">
        <v>51</v>
      </c>
      <c r="F74" s="82" t="s">
        <v>51</v>
      </c>
      <c r="G74" s="82">
        <f t="shared" si="6"/>
        <v>0</v>
      </c>
      <c r="H74" s="82">
        <v>0</v>
      </c>
      <c r="I74" s="105">
        <f t="shared" si="7"/>
        <v>0</v>
      </c>
      <c r="J74" s="103" t="s">
        <v>51</v>
      </c>
      <c r="K74" s="105">
        <f t="shared" si="8"/>
        <v>0</v>
      </c>
    </row>
    <row r="75" spans="1:11" s="5" customFormat="1" ht="12.95" customHeight="1" x14ac:dyDescent="0.2">
      <c r="A75" s="76" t="s">
        <v>288</v>
      </c>
      <c r="B75" s="84">
        <v>3320</v>
      </c>
      <c r="C75" s="82" t="s">
        <v>51</v>
      </c>
      <c r="D75" s="82" t="s">
        <v>51</v>
      </c>
      <c r="E75" s="82" t="s">
        <v>51</v>
      </c>
      <c r="F75" s="82" t="s">
        <v>51</v>
      </c>
      <c r="G75" s="82">
        <f t="shared" si="6"/>
        <v>0</v>
      </c>
      <c r="H75" s="82">
        <v>0</v>
      </c>
      <c r="I75" s="105">
        <f t="shared" si="7"/>
        <v>0</v>
      </c>
      <c r="J75" s="103" t="s">
        <v>51</v>
      </c>
      <c r="K75" s="105">
        <f t="shared" si="8"/>
        <v>0</v>
      </c>
    </row>
    <row r="76" spans="1:11" s="5" customFormat="1" ht="12.95" customHeight="1" x14ac:dyDescent="0.2">
      <c r="A76" s="38" t="s">
        <v>541</v>
      </c>
      <c r="B76" s="12">
        <v>3330</v>
      </c>
      <c r="C76" s="91">
        <f>C77+C78+C82+C83+C84+C85</f>
        <v>-2783</v>
      </c>
      <c r="D76" s="91">
        <f>D77+D78+D82+D83+D84+D85</f>
        <v>-1939</v>
      </c>
      <c r="E76" s="91">
        <f>E77+E78+E82+E83+E84+E85</f>
        <v>0</v>
      </c>
      <c r="F76" s="91">
        <f>F77+F78+F82+F83+F84+F85</f>
        <v>-1939</v>
      </c>
      <c r="G76" s="91">
        <f t="shared" si="6"/>
        <v>-1939</v>
      </c>
      <c r="H76" s="91">
        <v>0</v>
      </c>
      <c r="I76" s="105">
        <f t="shared" si="7"/>
        <v>-1939</v>
      </c>
      <c r="J76" s="103">
        <v>0</v>
      </c>
      <c r="K76" s="105">
        <f t="shared" si="8"/>
        <v>0</v>
      </c>
    </row>
    <row r="77" spans="1:11" s="5" customFormat="1" ht="12.95" customHeight="1" x14ac:dyDescent="0.2">
      <c r="A77" s="76" t="s">
        <v>306</v>
      </c>
      <c r="B77" s="84">
        <v>3335</v>
      </c>
      <c r="C77" s="82" t="s">
        <v>51</v>
      </c>
      <c r="D77" s="82" t="s">
        <v>51</v>
      </c>
      <c r="E77" s="82" t="s">
        <v>51</v>
      </c>
      <c r="F77" s="82" t="s">
        <v>51</v>
      </c>
      <c r="G77" s="82">
        <f t="shared" si="6"/>
        <v>0</v>
      </c>
      <c r="H77" s="82">
        <v>0</v>
      </c>
      <c r="I77" s="105">
        <f t="shared" si="7"/>
        <v>0</v>
      </c>
      <c r="J77" s="103" t="s">
        <v>51</v>
      </c>
      <c r="K77" s="105">
        <f t="shared" si="8"/>
        <v>0</v>
      </c>
    </row>
    <row r="78" spans="1:11" s="5" customFormat="1" ht="12.95" customHeight="1" x14ac:dyDescent="0.2">
      <c r="A78" s="76" t="s">
        <v>307</v>
      </c>
      <c r="B78" s="84">
        <v>3340</v>
      </c>
      <c r="C78" s="82">
        <f>SUM(C79:C81)</f>
        <v>0</v>
      </c>
      <c r="D78" s="82">
        <f>SUM(D79:D81)</f>
        <v>0</v>
      </c>
      <c r="E78" s="82">
        <f>SUM(E79:E81)</f>
        <v>0</v>
      </c>
      <c r="F78" s="82">
        <f>SUM(F79:F81)</f>
        <v>0</v>
      </c>
      <c r="G78" s="82">
        <f t="shared" si="6"/>
        <v>0</v>
      </c>
      <c r="H78" s="82">
        <v>0</v>
      </c>
      <c r="I78" s="105">
        <f t="shared" si="7"/>
        <v>0</v>
      </c>
      <c r="J78" s="103">
        <v>0</v>
      </c>
      <c r="K78" s="105">
        <f t="shared" si="8"/>
        <v>0</v>
      </c>
    </row>
    <row r="79" spans="1:11" s="5" customFormat="1" ht="12.95" customHeight="1" x14ac:dyDescent="0.2">
      <c r="A79" s="76" t="s">
        <v>285</v>
      </c>
      <c r="B79" s="84">
        <v>3341</v>
      </c>
      <c r="C79" s="82" t="s">
        <v>51</v>
      </c>
      <c r="D79" s="82" t="s">
        <v>51</v>
      </c>
      <c r="E79" s="82" t="s">
        <v>51</v>
      </c>
      <c r="F79" s="82" t="s">
        <v>51</v>
      </c>
      <c r="G79" s="82">
        <f t="shared" si="6"/>
        <v>0</v>
      </c>
      <c r="H79" s="82">
        <v>0</v>
      </c>
      <c r="I79" s="105">
        <f t="shared" si="7"/>
        <v>0</v>
      </c>
      <c r="J79" s="103" t="s">
        <v>51</v>
      </c>
      <c r="K79" s="105">
        <f t="shared" si="8"/>
        <v>0</v>
      </c>
    </row>
    <row r="80" spans="1:11" s="5" customFormat="1" ht="12.95" customHeight="1" x14ac:dyDescent="0.2">
      <c r="A80" s="76" t="s">
        <v>286</v>
      </c>
      <c r="B80" s="84">
        <v>3342</v>
      </c>
      <c r="C80" s="82" t="s">
        <v>51</v>
      </c>
      <c r="D80" s="82">
        <v>0</v>
      </c>
      <c r="E80" s="82" t="s">
        <v>51</v>
      </c>
      <c r="F80" s="82">
        <v>0</v>
      </c>
      <c r="G80" s="82">
        <f t="shared" si="6"/>
        <v>0</v>
      </c>
      <c r="H80" s="82">
        <v>0</v>
      </c>
      <c r="I80" s="105">
        <f t="shared" si="7"/>
        <v>0</v>
      </c>
      <c r="J80" s="103">
        <v>0</v>
      </c>
      <c r="K80" s="105">
        <f t="shared" si="8"/>
        <v>0</v>
      </c>
    </row>
    <row r="81" spans="1:11" s="5" customFormat="1" ht="12.95" customHeight="1" x14ac:dyDescent="0.2">
      <c r="A81" s="76" t="s">
        <v>287</v>
      </c>
      <c r="B81" s="84">
        <v>3343</v>
      </c>
      <c r="C81" s="82" t="s">
        <v>51</v>
      </c>
      <c r="D81" s="82" t="s">
        <v>51</v>
      </c>
      <c r="E81" s="82" t="s">
        <v>51</v>
      </c>
      <c r="F81" s="82" t="s">
        <v>51</v>
      </c>
      <c r="G81" s="82">
        <f t="shared" si="6"/>
        <v>0</v>
      </c>
      <c r="H81" s="82">
        <v>0</v>
      </c>
      <c r="I81" s="105">
        <f t="shared" si="7"/>
        <v>0</v>
      </c>
      <c r="J81" s="103" t="s">
        <v>51</v>
      </c>
      <c r="K81" s="105">
        <f t="shared" si="8"/>
        <v>0</v>
      </c>
    </row>
    <row r="82" spans="1:11" s="5" customFormat="1" ht="12.95" customHeight="1" x14ac:dyDescent="0.2">
      <c r="A82" s="76" t="s">
        <v>308</v>
      </c>
      <c r="B82" s="84">
        <v>3350</v>
      </c>
      <c r="C82" s="82">
        <v>-1124</v>
      </c>
      <c r="D82" s="82">
        <v>0</v>
      </c>
      <c r="E82" s="82" t="s">
        <v>51</v>
      </c>
      <c r="F82" s="82">
        <v>0</v>
      </c>
      <c r="G82" s="82">
        <f t="shared" si="6"/>
        <v>0</v>
      </c>
      <c r="H82" s="82">
        <v>0</v>
      </c>
      <c r="I82" s="105">
        <f t="shared" si="7"/>
        <v>0</v>
      </c>
      <c r="J82" s="103">
        <v>0</v>
      </c>
      <c r="K82" s="105">
        <f t="shared" si="8"/>
        <v>0</v>
      </c>
    </row>
    <row r="83" spans="1:11" s="5" customFormat="1" ht="12.95" customHeight="1" x14ac:dyDescent="0.2">
      <c r="A83" s="76" t="s">
        <v>542</v>
      </c>
      <c r="B83" s="84">
        <v>3360</v>
      </c>
      <c r="C83" s="82" t="s">
        <v>51</v>
      </c>
      <c r="D83" s="82">
        <v>-1939</v>
      </c>
      <c r="E83" s="82" t="s">
        <v>51</v>
      </c>
      <c r="F83" s="82">
        <v>-1939</v>
      </c>
      <c r="G83" s="82">
        <f>F83-E83</f>
        <v>-1939</v>
      </c>
      <c r="H83" s="82">
        <v>0</v>
      </c>
      <c r="I83" s="105">
        <f t="shared" si="7"/>
        <v>-1939</v>
      </c>
      <c r="J83" s="103" t="s">
        <v>51</v>
      </c>
      <c r="K83" s="105">
        <f t="shared" si="8"/>
        <v>0</v>
      </c>
    </row>
    <row r="84" spans="1:11" s="5" customFormat="1" ht="12.95" customHeight="1" x14ac:dyDescent="0.2">
      <c r="A84" s="76" t="s">
        <v>543</v>
      </c>
      <c r="B84" s="84">
        <v>3370</v>
      </c>
      <c r="C84" s="82" t="s">
        <v>51</v>
      </c>
      <c r="D84" s="82">
        <v>0</v>
      </c>
      <c r="E84" s="82" t="s">
        <v>51</v>
      </c>
      <c r="F84" s="82">
        <v>0</v>
      </c>
      <c r="G84" s="82">
        <f>F84-E84</f>
        <v>0</v>
      </c>
      <c r="H84" s="82">
        <v>0</v>
      </c>
      <c r="I84" s="105">
        <f t="shared" si="7"/>
        <v>0</v>
      </c>
      <c r="J84" s="103">
        <v>0</v>
      </c>
      <c r="K84" s="105">
        <f t="shared" si="8"/>
        <v>0</v>
      </c>
    </row>
    <row r="85" spans="1:11" s="5" customFormat="1" ht="12.95" customHeight="1" x14ac:dyDescent="0.2">
      <c r="A85" s="76" t="s">
        <v>299</v>
      </c>
      <c r="B85" s="84">
        <v>3380</v>
      </c>
      <c r="C85" s="82">
        <v>-1659</v>
      </c>
      <c r="D85" s="82">
        <v>0</v>
      </c>
      <c r="E85" s="82" t="s">
        <v>51</v>
      </c>
      <c r="F85" s="82">
        <v>0</v>
      </c>
      <c r="G85" s="82">
        <f t="shared" si="6"/>
        <v>0</v>
      </c>
      <c r="H85" s="82">
        <v>0</v>
      </c>
      <c r="I85" s="105">
        <f t="shared" si="7"/>
        <v>0</v>
      </c>
      <c r="J85" s="103">
        <v>0</v>
      </c>
      <c r="K85" s="105">
        <f t="shared" si="8"/>
        <v>0</v>
      </c>
    </row>
    <row r="86" spans="1:11" s="5" customFormat="1" ht="12.95" customHeight="1" x14ac:dyDescent="0.2">
      <c r="A86" s="78" t="s">
        <v>309</v>
      </c>
      <c r="B86" s="12">
        <v>3395</v>
      </c>
      <c r="C86" s="91">
        <f>C69+C76</f>
        <v>-2783</v>
      </c>
      <c r="D86" s="91">
        <f>D69+D76</f>
        <v>-1939</v>
      </c>
      <c r="E86" s="91">
        <f>E69+E76</f>
        <v>0</v>
      </c>
      <c r="F86" s="91">
        <f>F69+F76</f>
        <v>-1939</v>
      </c>
      <c r="G86" s="91">
        <f t="shared" si="6"/>
        <v>-1939</v>
      </c>
      <c r="H86" s="91">
        <v>0</v>
      </c>
      <c r="I86" s="105">
        <f t="shared" si="7"/>
        <v>-1939</v>
      </c>
      <c r="J86" s="103">
        <v>0</v>
      </c>
      <c r="K86" s="105">
        <f t="shared" si="8"/>
        <v>0</v>
      </c>
    </row>
    <row r="87" spans="1:11" s="5" customFormat="1" ht="12.95" customHeight="1" x14ac:dyDescent="0.2">
      <c r="A87" s="38" t="s">
        <v>544</v>
      </c>
      <c r="B87" s="12">
        <v>3400</v>
      </c>
      <c r="C87" s="91">
        <f>C46+C67+C86</f>
        <v>-4380</v>
      </c>
      <c r="D87" s="91">
        <f>D46+D67+D86</f>
        <v>-9950</v>
      </c>
      <c r="E87" s="91">
        <f>E46+E67+E86</f>
        <v>6973</v>
      </c>
      <c r="F87" s="91">
        <f>F46+F67+F86</f>
        <v>-9950</v>
      </c>
      <c r="G87" s="91">
        <f t="shared" si="6"/>
        <v>-16923</v>
      </c>
      <c r="H87" s="91">
        <f>F87/E87*100</f>
        <v>-142.69324537501794</v>
      </c>
      <c r="I87" s="105">
        <f t="shared" si="7"/>
        <v>-1461</v>
      </c>
      <c r="J87" s="103">
        <v>-8489</v>
      </c>
      <c r="K87" s="105">
        <f t="shared" si="8"/>
        <v>-8489</v>
      </c>
    </row>
    <row r="88" spans="1:11" s="5" customFormat="1" ht="12.95" customHeight="1" x14ac:dyDescent="0.2">
      <c r="A88" s="76" t="s">
        <v>124</v>
      </c>
      <c r="B88" s="84">
        <v>3405</v>
      </c>
      <c r="C88" s="82">
        <v>20188</v>
      </c>
      <c r="D88" s="82">
        <v>14807</v>
      </c>
      <c r="E88" s="82">
        <v>14807</v>
      </c>
      <c r="F88" s="82">
        <v>14807</v>
      </c>
      <c r="G88" s="82">
        <f t="shared" si="6"/>
        <v>0</v>
      </c>
      <c r="H88" s="82">
        <f>F88/E88*100</f>
        <v>100</v>
      </c>
      <c r="I88" s="105">
        <f>D88-J88</f>
        <v>0</v>
      </c>
      <c r="J88" s="103">
        <v>14807</v>
      </c>
      <c r="K88" s="105">
        <f t="shared" si="8"/>
        <v>14807</v>
      </c>
    </row>
    <row r="89" spans="1:11" s="5" customFormat="1" ht="12.95" customHeight="1" x14ac:dyDescent="0.2">
      <c r="A89" s="76" t="s">
        <v>129</v>
      </c>
      <c r="B89" s="84">
        <v>3410</v>
      </c>
      <c r="C89" s="82">
        <v>-1001</v>
      </c>
      <c r="D89" s="82">
        <v>-1073</v>
      </c>
      <c r="E89" s="82" t="s">
        <v>51</v>
      </c>
      <c r="F89" s="82">
        <v>-1073</v>
      </c>
      <c r="G89" s="82">
        <f t="shared" si="6"/>
        <v>-1073</v>
      </c>
      <c r="H89" s="82">
        <v>0</v>
      </c>
      <c r="I89" s="105">
        <f t="shared" si="7"/>
        <v>-1073</v>
      </c>
      <c r="J89" s="103">
        <v>0</v>
      </c>
      <c r="K89" s="105">
        <f t="shared" si="8"/>
        <v>0</v>
      </c>
    </row>
    <row r="90" spans="1:11" s="5" customFormat="1" ht="12.95" customHeight="1" x14ac:dyDescent="0.2">
      <c r="A90" s="76" t="s">
        <v>130</v>
      </c>
      <c r="B90" s="84">
        <v>3415</v>
      </c>
      <c r="C90" s="82">
        <f>SUM(C87,C88,C89)</f>
        <v>14807</v>
      </c>
      <c r="D90" s="82">
        <f>SUM(D87,D88,D89)</f>
        <v>3784</v>
      </c>
      <c r="E90" s="82">
        <f>SUM(E87,E88,E89)</f>
        <v>21780</v>
      </c>
      <c r="F90" s="82">
        <f>SUM(F87,F88,F89)</f>
        <v>3784</v>
      </c>
      <c r="G90" s="82">
        <f t="shared" si="6"/>
        <v>-17996</v>
      </c>
      <c r="H90" s="82">
        <f>F90/E90*100</f>
        <v>17.373737373737374</v>
      </c>
      <c r="I90" s="105">
        <f t="shared" si="7"/>
        <v>-2534</v>
      </c>
      <c r="J90" s="103">
        <v>6318</v>
      </c>
      <c r="K90" s="105">
        <f t="shared" si="8"/>
        <v>6318</v>
      </c>
    </row>
    <row r="91" spans="1:11" s="5" customFormat="1" ht="12.95" customHeight="1" x14ac:dyDescent="0.2">
      <c r="I91" s="102"/>
      <c r="J91" s="103"/>
      <c r="K91" s="102"/>
    </row>
    <row r="92" spans="1:11" s="5" customFormat="1" ht="12.95" customHeight="1" x14ac:dyDescent="0.2">
      <c r="A92" s="85" t="s">
        <v>179</v>
      </c>
      <c r="B92" s="85"/>
      <c r="C92" s="85"/>
      <c r="D92" s="85"/>
      <c r="E92" s="85"/>
      <c r="F92" s="85"/>
      <c r="G92" s="85"/>
      <c r="H92" s="85"/>
      <c r="I92" s="102"/>
      <c r="J92" s="103"/>
      <c r="K92" s="102"/>
    </row>
    <row r="93" spans="1:11" s="16" customFormat="1" ht="12.95" customHeight="1" x14ac:dyDescent="0.2">
      <c r="A93" s="15" t="s">
        <v>592</v>
      </c>
      <c r="B93" s="85"/>
      <c r="C93" s="135"/>
      <c r="D93" s="135"/>
      <c r="E93" s="85"/>
      <c r="F93" s="137" t="s">
        <v>608</v>
      </c>
      <c r="G93" s="137"/>
      <c r="H93" s="137"/>
      <c r="I93" s="106"/>
      <c r="J93" s="107"/>
      <c r="K93" s="106"/>
    </row>
    <row r="94" spans="1:11" s="16" customFormat="1" ht="12.95" customHeight="1" x14ac:dyDescent="0.2">
      <c r="A94" s="93" t="s">
        <v>180</v>
      </c>
      <c r="B94" s="85"/>
      <c r="C94" s="116" t="s">
        <v>181</v>
      </c>
      <c r="D94" s="116"/>
      <c r="E94" s="85"/>
      <c r="F94" s="116" t="s">
        <v>182</v>
      </c>
      <c r="G94" s="116"/>
      <c r="H94" s="116"/>
      <c r="I94" s="106"/>
      <c r="J94" s="107"/>
      <c r="K94" s="106"/>
    </row>
  </sheetData>
  <mergeCells count="12">
    <mergeCell ref="A47:H47"/>
    <mergeCell ref="A68:H68"/>
    <mergeCell ref="F93:H93"/>
    <mergeCell ref="C94:D94"/>
    <mergeCell ref="F94:H94"/>
    <mergeCell ref="C93:D93"/>
    <mergeCell ref="A6:H6"/>
    <mergeCell ref="A1:H1"/>
    <mergeCell ref="A3:A4"/>
    <mergeCell ref="B3:B4"/>
    <mergeCell ref="C3:D3"/>
    <mergeCell ref="E3:H3"/>
  </mergeCells>
  <phoneticPr fontId="0" type="noConversion"/>
  <pageMargins left="0.35433070866141736" right="0.35433070866141736" top="0.35433070866141736" bottom="0.35433070866141736" header="0" footer="0"/>
  <pageSetup paperSize="9" fitToWidth="0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16"/>
  <sheetViews>
    <sheetView zoomScaleNormal="100" workbookViewId="0">
      <selection activeCell="E7" sqref="E7:E11"/>
    </sheetView>
  </sheetViews>
  <sheetFormatPr defaultColWidth="8.7109375" defaultRowHeight="11.45" customHeight="1" x14ac:dyDescent="0.2"/>
  <cols>
    <col min="1" max="1" width="57.7109375" style="17" customWidth="1"/>
    <col min="2" max="2" width="8.7109375" style="17" customWidth="1"/>
    <col min="3" max="8" width="12.7109375" style="17" customWidth="1"/>
    <col min="9" max="16384" width="8.7109375" style="11"/>
  </cols>
  <sheetData>
    <row r="1" spans="1:8" s="5" customFormat="1" ht="12.95" customHeight="1" x14ac:dyDescent="0.2">
      <c r="A1" s="116" t="s">
        <v>310</v>
      </c>
      <c r="B1" s="116"/>
      <c r="C1" s="116"/>
      <c r="D1" s="116"/>
      <c r="E1" s="116"/>
      <c r="F1" s="116"/>
      <c r="G1" s="116"/>
      <c r="H1" s="116"/>
    </row>
    <row r="2" spans="1:8" s="5" customFormat="1" ht="12.95" customHeight="1" x14ac:dyDescent="0.2"/>
    <row r="3" spans="1:8" s="5" customFormat="1" ht="26.1" customHeight="1" x14ac:dyDescent="0.2">
      <c r="A3" s="145" t="s">
        <v>40</v>
      </c>
      <c r="B3" s="145" t="s">
        <v>41</v>
      </c>
      <c r="C3" s="145" t="s">
        <v>42</v>
      </c>
      <c r="D3" s="145"/>
      <c r="E3" s="145" t="str">
        <f>'Осн. фін. пок.'!E27:H27</f>
        <v>Звітний період (2019 р.)</v>
      </c>
      <c r="F3" s="145"/>
      <c r="G3" s="145"/>
      <c r="H3" s="145"/>
    </row>
    <row r="4" spans="1:8" s="5" customFormat="1" ht="26.1" customHeight="1" x14ac:dyDescent="0.2">
      <c r="A4" s="145"/>
      <c r="B4" s="145"/>
      <c r="C4" s="79" t="s">
        <v>43</v>
      </c>
      <c r="D4" s="79" t="s">
        <v>44</v>
      </c>
      <c r="E4" s="79" t="s">
        <v>45</v>
      </c>
      <c r="F4" s="79" t="s">
        <v>46</v>
      </c>
      <c r="G4" s="79" t="s">
        <v>47</v>
      </c>
      <c r="H4" s="79" t="s">
        <v>48</v>
      </c>
    </row>
    <row r="5" spans="1:8" s="5" customFormat="1" ht="12.95" customHeight="1" x14ac:dyDescent="0.2">
      <c r="A5" s="84">
        <v>1</v>
      </c>
      <c r="B5" s="84">
        <v>2</v>
      </c>
      <c r="C5" s="84">
        <v>3</v>
      </c>
      <c r="D5" s="84">
        <v>4</v>
      </c>
      <c r="E5" s="84">
        <v>5</v>
      </c>
      <c r="F5" s="84">
        <v>6</v>
      </c>
      <c r="G5" s="84">
        <v>7</v>
      </c>
      <c r="H5" s="84">
        <v>8</v>
      </c>
    </row>
    <row r="6" spans="1:8" s="17" customFormat="1" ht="26.1" customHeight="1" x14ac:dyDescent="0.2">
      <c r="A6" s="80" t="s">
        <v>311</v>
      </c>
      <c r="B6" s="12">
        <v>4000</v>
      </c>
      <c r="C6" s="91">
        <f>SUM(C7:C12)</f>
        <v>30293</v>
      </c>
      <c r="D6" s="91">
        <f>SUM(D7:D12)</f>
        <v>5799</v>
      </c>
      <c r="E6" s="91">
        <f>SUM(E7:E12)</f>
        <v>24305</v>
      </c>
      <c r="F6" s="91">
        <f>SUM(F7:F12)</f>
        <v>5799</v>
      </c>
      <c r="G6" s="91">
        <f>F6-E6</f>
        <v>-18506</v>
      </c>
      <c r="H6" s="90">
        <f>F6/E6*100</f>
        <v>23.859288212301998</v>
      </c>
    </row>
    <row r="7" spans="1:8" s="17" customFormat="1" ht="12.95" customHeight="1" x14ac:dyDescent="0.2">
      <c r="A7" s="81" t="s">
        <v>133</v>
      </c>
      <c r="B7" s="84">
        <v>4010</v>
      </c>
      <c r="C7" s="82">
        <v>0</v>
      </c>
      <c r="D7" s="82">
        <v>0</v>
      </c>
      <c r="E7" s="82">
        <v>5000</v>
      </c>
      <c r="F7" s="82">
        <v>0</v>
      </c>
      <c r="G7" s="82">
        <f t="shared" ref="G7:G12" si="0">F7-E7</f>
        <v>-5000</v>
      </c>
      <c r="H7" s="87">
        <v>0</v>
      </c>
    </row>
    <row r="8" spans="1:8" s="17" customFormat="1" ht="12.95" customHeight="1" x14ac:dyDescent="0.2">
      <c r="A8" s="81" t="s">
        <v>134</v>
      </c>
      <c r="B8" s="84">
        <v>4020</v>
      </c>
      <c r="C8" s="82">
        <v>6350</v>
      </c>
      <c r="D8" s="82">
        <v>4779</v>
      </c>
      <c r="E8" s="82">
        <v>10940</v>
      </c>
      <c r="F8" s="82">
        <v>4779</v>
      </c>
      <c r="G8" s="82">
        <f t="shared" si="0"/>
        <v>-6161</v>
      </c>
      <c r="H8" s="87">
        <f>F8/E8*100</f>
        <v>43.683729433272397</v>
      </c>
    </row>
    <row r="9" spans="1:8" s="17" customFormat="1" ht="12.95" customHeight="1" x14ac:dyDescent="0.2">
      <c r="A9" s="81" t="s">
        <v>135</v>
      </c>
      <c r="B9" s="84">
        <v>4030</v>
      </c>
      <c r="C9" s="82" t="s">
        <v>51</v>
      </c>
      <c r="D9" s="82" t="s">
        <v>51</v>
      </c>
      <c r="E9" s="82" t="s">
        <v>51</v>
      </c>
      <c r="F9" s="82" t="s">
        <v>51</v>
      </c>
      <c r="G9" s="82">
        <f t="shared" si="0"/>
        <v>0</v>
      </c>
      <c r="H9" s="87">
        <v>0</v>
      </c>
    </row>
    <row r="10" spans="1:8" s="17" customFormat="1" ht="12.95" customHeight="1" x14ac:dyDescent="0.2">
      <c r="A10" s="81" t="s">
        <v>136</v>
      </c>
      <c r="B10" s="84">
        <v>4040</v>
      </c>
      <c r="C10" s="82">
        <v>1875</v>
      </c>
      <c r="D10" s="82">
        <v>1020</v>
      </c>
      <c r="E10" s="82">
        <v>1960</v>
      </c>
      <c r="F10" s="82">
        <v>1020</v>
      </c>
      <c r="G10" s="82">
        <f t="shared" si="0"/>
        <v>-940</v>
      </c>
      <c r="H10" s="87">
        <f>F10/E10*100</f>
        <v>52.040816326530617</v>
      </c>
    </row>
    <row r="11" spans="1:8" s="17" customFormat="1" ht="26.1" customHeight="1" x14ac:dyDescent="0.2">
      <c r="A11" s="81" t="s">
        <v>137</v>
      </c>
      <c r="B11" s="84">
        <v>4050</v>
      </c>
      <c r="C11" s="82">
        <v>22068</v>
      </c>
      <c r="D11" s="82">
        <v>0</v>
      </c>
      <c r="E11" s="82">
        <v>6405</v>
      </c>
      <c r="F11" s="82">
        <v>0</v>
      </c>
      <c r="G11" s="82">
        <f t="shared" si="0"/>
        <v>-6405</v>
      </c>
      <c r="H11" s="87">
        <v>0</v>
      </c>
    </row>
    <row r="12" spans="1:8" s="17" customFormat="1" ht="12.95" customHeight="1" x14ac:dyDescent="0.2">
      <c r="A12" s="81" t="s">
        <v>138</v>
      </c>
      <c r="B12" s="84">
        <v>4060</v>
      </c>
      <c r="C12" s="82">
        <v>0</v>
      </c>
      <c r="D12" s="82">
        <v>0</v>
      </c>
      <c r="E12" s="82">
        <v>0</v>
      </c>
      <c r="F12" s="82">
        <v>0</v>
      </c>
      <c r="G12" s="82">
        <f t="shared" si="0"/>
        <v>0</v>
      </c>
      <c r="H12" s="87">
        <v>0</v>
      </c>
    </row>
    <row r="13" spans="1:8" s="5" customFormat="1" ht="12.95" customHeight="1" x14ac:dyDescent="0.2"/>
    <row r="14" spans="1:8" s="5" customFormat="1" ht="12.95" customHeight="1" x14ac:dyDescent="0.2">
      <c r="A14" s="85" t="s">
        <v>179</v>
      </c>
      <c r="B14" s="85"/>
      <c r="C14" s="85"/>
      <c r="D14" s="85"/>
      <c r="E14" s="85"/>
      <c r="F14" s="85"/>
      <c r="G14" s="85"/>
      <c r="H14" s="85"/>
    </row>
    <row r="15" spans="1:8" s="16" customFormat="1" ht="12.95" customHeight="1" x14ac:dyDescent="0.2">
      <c r="A15" s="15" t="s">
        <v>592</v>
      </c>
      <c r="B15" s="85"/>
      <c r="C15" s="135"/>
      <c r="D15" s="135"/>
      <c r="E15" s="85"/>
      <c r="F15" s="136" t="s">
        <v>608</v>
      </c>
      <c r="G15" s="137"/>
      <c r="H15" s="137"/>
    </row>
    <row r="16" spans="1:8" s="16" customFormat="1" ht="12.95" customHeight="1" x14ac:dyDescent="0.2">
      <c r="A16" s="93" t="s">
        <v>180</v>
      </c>
      <c r="B16" s="85"/>
      <c r="C16" s="116" t="s">
        <v>181</v>
      </c>
      <c r="D16" s="116"/>
      <c r="E16" s="85"/>
      <c r="F16" s="116" t="s">
        <v>182</v>
      </c>
      <c r="G16" s="116"/>
      <c r="H16" s="116"/>
    </row>
  </sheetData>
  <mergeCells count="9">
    <mergeCell ref="C16:D16"/>
    <mergeCell ref="F16:H16"/>
    <mergeCell ref="A1:H1"/>
    <mergeCell ref="A3:A4"/>
    <mergeCell ref="B3:B4"/>
    <mergeCell ref="C3:D3"/>
    <mergeCell ref="E3:H3"/>
    <mergeCell ref="F15:H15"/>
    <mergeCell ref="C15:D15"/>
  </mergeCells>
  <phoneticPr fontId="0" type="noConversion"/>
  <pageMargins left="0.35433070866141736" right="0.35433070866141736" top="0.35433070866141736" bottom="0.35433070866141736" header="0" footer="0"/>
  <pageSetup paperSize="9" scale="98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27"/>
  <sheetViews>
    <sheetView zoomScaleNormal="100" workbookViewId="0">
      <selection activeCell="H33" sqref="H33"/>
    </sheetView>
  </sheetViews>
  <sheetFormatPr defaultColWidth="8.7109375" defaultRowHeight="11.45" customHeight="1" x14ac:dyDescent="0.2"/>
  <cols>
    <col min="1" max="1" width="60.140625" style="5" customWidth="1"/>
    <col min="2" max="2" width="8.7109375" style="5" customWidth="1"/>
    <col min="3" max="3" width="12.5703125" style="5" customWidth="1"/>
    <col min="4" max="4" width="12.140625" style="5" customWidth="1"/>
    <col min="5" max="5" width="13.85546875" style="5" customWidth="1"/>
    <col min="6" max="7" width="12.140625" style="5" customWidth="1"/>
    <col min="8" max="8" width="50" style="5" customWidth="1"/>
    <col min="9" max="9" width="11.5703125" style="11" bestFit="1" customWidth="1"/>
    <col min="10" max="16384" width="8.7109375" style="11"/>
  </cols>
  <sheetData>
    <row r="1" spans="1:8" s="5" customFormat="1" ht="12.95" customHeight="1" x14ac:dyDescent="0.2">
      <c r="A1" s="116" t="s">
        <v>148</v>
      </c>
      <c r="B1" s="116"/>
      <c r="C1" s="116"/>
      <c r="D1" s="116"/>
      <c r="E1" s="116"/>
      <c r="F1" s="116"/>
      <c r="G1" s="116"/>
      <c r="H1" s="116"/>
    </row>
    <row r="2" spans="1:8" s="5" customFormat="1" ht="12.95" customHeight="1" x14ac:dyDescent="0.2"/>
    <row r="3" spans="1:8" s="5" customFormat="1" ht="26.1" customHeight="1" x14ac:dyDescent="0.2">
      <c r="A3" s="145" t="s">
        <v>40</v>
      </c>
      <c r="B3" s="145" t="s">
        <v>41</v>
      </c>
      <c r="C3" s="145" t="s">
        <v>312</v>
      </c>
      <c r="D3" s="145" t="s">
        <v>42</v>
      </c>
      <c r="E3" s="145"/>
      <c r="F3" s="147" t="s">
        <v>600</v>
      </c>
      <c r="G3" s="145"/>
      <c r="H3" s="145" t="s">
        <v>313</v>
      </c>
    </row>
    <row r="4" spans="1:8" s="5" customFormat="1" ht="12.95" customHeight="1" x14ac:dyDescent="0.2">
      <c r="A4" s="145"/>
      <c r="B4" s="145"/>
      <c r="C4" s="145"/>
      <c r="D4" s="79" t="s">
        <v>43</v>
      </c>
      <c r="E4" s="79" t="s">
        <v>44</v>
      </c>
      <c r="F4" s="79" t="s">
        <v>43</v>
      </c>
      <c r="G4" s="79" t="s">
        <v>44</v>
      </c>
      <c r="H4" s="145"/>
    </row>
    <row r="5" spans="1:8" s="5" customFormat="1" ht="12.95" customHeight="1" x14ac:dyDescent="0.2">
      <c r="A5" s="84">
        <v>1</v>
      </c>
      <c r="B5" s="84">
        <v>2</v>
      </c>
      <c r="C5" s="84">
        <v>3</v>
      </c>
      <c r="D5" s="84">
        <v>4</v>
      </c>
      <c r="E5" s="84">
        <v>5</v>
      </c>
      <c r="F5" s="84">
        <v>6</v>
      </c>
      <c r="G5" s="84">
        <v>7</v>
      </c>
      <c r="H5" s="84">
        <v>8</v>
      </c>
    </row>
    <row r="6" spans="1:8" s="5" customFormat="1" ht="12.95" customHeight="1" x14ac:dyDescent="0.2">
      <c r="A6" s="148" t="s">
        <v>314</v>
      </c>
      <c r="B6" s="148"/>
      <c r="C6" s="148"/>
      <c r="D6" s="148"/>
      <c r="E6" s="148"/>
      <c r="F6" s="148"/>
      <c r="G6" s="148"/>
      <c r="H6" s="148"/>
    </row>
    <row r="7" spans="1:8" s="5" customFormat="1" ht="38.1" customHeight="1" x14ac:dyDescent="0.2">
      <c r="A7" s="81" t="s">
        <v>315</v>
      </c>
      <c r="B7" s="84">
        <v>5000</v>
      </c>
      <c r="C7" s="79" t="s">
        <v>316</v>
      </c>
      <c r="D7" s="28">
        <f>'Осн. фін. пок.'!C33/'Осн. фін. пок.'!C31*100</f>
        <v>7.9075110238262871</v>
      </c>
      <c r="E7" s="28">
        <f>'Осн. фін. пок.'!D33/'Осн. фін. пок.'!D31*100</f>
        <v>6.8365139148054448</v>
      </c>
      <c r="F7" s="28">
        <f>D7</f>
        <v>7.9075110238262871</v>
      </c>
      <c r="G7" s="28">
        <f>'Осн. фін. пок.'!F33/'Осн. фін. пок.'!F31*100</f>
        <v>6.8365139148054448</v>
      </c>
      <c r="H7" s="81"/>
    </row>
    <row r="8" spans="1:8" s="5" customFormat="1" ht="38.1" customHeight="1" x14ac:dyDescent="0.2">
      <c r="A8" s="81" t="s">
        <v>317</v>
      </c>
      <c r="B8" s="84">
        <v>5010</v>
      </c>
      <c r="C8" s="79" t="s">
        <v>316</v>
      </c>
      <c r="D8" s="28">
        <f>'I. Формування фін. рез.'!C113/'I. Формування фін. рез.'!C7*100</f>
        <v>0.64581038457349293</v>
      </c>
      <c r="E8" s="28">
        <f>'I. Формування фін. рез.'!D113/'I. Формування фін. рез.'!D7*100</f>
        <v>-1.683674287088023</v>
      </c>
      <c r="F8" s="28">
        <f t="shared" ref="F8:F11" si="0">D8</f>
        <v>0.64581038457349293</v>
      </c>
      <c r="G8" s="28">
        <f>'I. Формування фін. рез.'!F113/'I. Формування фін. рез.'!F7*100</f>
        <v>-1.683674287088023</v>
      </c>
      <c r="H8" s="81"/>
    </row>
    <row r="9" spans="1:8" s="5" customFormat="1" ht="38.1" customHeight="1" x14ac:dyDescent="0.2">
      <c r="A9" s="81" t="s">
        <v>318</v>
      </c>
      <c r="B9" s="84">
        <v>5020</v>
      </c>
      <c r="C9" s="79" t="s">
        <v>316</v>
      </c>
      <c r="D9" s="28">
        <f>'Осн. фін. пок.'!C63/'Осн. фін. пок.'!C140*100</f>
        <v>2.0021273295366413</v>
      </c>
      <c r="E9" s="28">
        <f>'Осн. фін. пок.'!D63/'Осн. фін. пок.'!D140*100</f>
        <v>-2.0260441107461289</v>
      </c>
      <c r="F9" s="28">
        <f t="shared" si="0"/>
        <v>2.0021273295366413</v>
      </c>
      <c r="G9" s="28">
        <f>'I. Формування фін. рез.'!F100/'Осн. фін. пок.'!D140*100</f>
        <v>-2.0260441107461289</v>
      </c>
      <c r="H9" s="81" t="s">
        <v>319</v>
      </c>
    </row>
    <row r="10" spans="1:8" s="5" customFormat="1" ht="38.1" customHeight="1" x14ac:dyDescent="0.2">
      <c r="A10" s="81" t="s">
        <v>320</v>
      </c>
      <c r="B10" s="84">
        <v>5030</v>
      </c>
      <c r="C10" s="79" t="s">
        <v>316</v>
      </c>
      <c r="D10" s="28">
        <f>'Осн. фін. пок.'!C63/'Осн. фін. пок.'!C146*100</f>
        <v>4.9898174036105072</v>
      </c>
      <c r="E10" s="28">
        <f>'Осн. фін. пок.'!D63/'Осн. фін. пок.'!D146*100</f>
        <v>-7.2259414225941425</v>
      </c>
      <c r="F10" s="28">
        <f t="shared" si="0"/>
        <v>4.9898174036105072</v>
      </c>
      <c r="G10" s="28">
        <f>'Осн. фін. пок.'!F63/'Осн. фін. пок.'!D146*100</f>
        <v>-7.2259414225941425</v>
      </c>
      <c r="H10" s="81"/>
    </row>
    <row r="11" spans="1:8" s="5" customFormat="1" ht="38.1" customHeight="1" x14ac:dyDescent="0.2">
      <c r="A11" s="81" t="s">
        <v>321</v>
      </c>
      <c r="B11" s="84">
        <v>5040</v>
      </c>
      <c r="C11" s="79" t="s">
        <v>316</v>
      </c>
      <c r="D11" s="28">
        <f>'Осн. фін. пок.'!C63/'Осн. фін. пок.'!C31*100</f>
        <v>0.81161412172639802</v>
      </c>
      <c r="E11" s="28">
        <f>'Осн. фін. пок.'!D63/'Осн. фін. пок.'!D31*100</f>
        <v>-0.98851785284993077</v>
      </c>
      <c r="F11" s="28">
        <f t="shared" si="0"/>
        <v>0.81161412172639802</v>
      </c>
      <c r="G11" s="28">
        <f>'Осн. фін. пок.'!F63/'Осн. фін. пок.'!F31*100</f>
        <v>-0.98851785284993077</v>
      </c>
      <c r="H11" s="81" t="s">
        <v>322</v>
      </c>
    </row>
    <row r="12" spans="1:8" s="5" customFormat="1" ht="12.95" customHeight="1" x14ac:dyDescent="0.2">
      <c r="A12" s="148" t="s">
        <v>323</v>
      </c>
      <c r="B12" s="148"/>
      <c r="C12" s="148"/>
      <c r="D12" s="148"/>
      <c r="E12" s="148"/>
      <c r="F12" s="148"/>
      <c r="G12" s="148"/>
      <c r="H12" s="148"/>
    </row>
    <row r="13" spans="1:8" s="5" customFormat="1" ht="38.1" customHeight="1" x14ac:dyDescent="0.2">
      <c r="A13" s="81" t="s">
        <v>324</v>
      </c>
      <c r="B13" s="84">
        <v>5100</v>
      </c>
      <c r="C13" s="79"/>
      <c r="D13" s="28">
        <f>('Осн. фін. пок.'!C141+'Осн. фін. пок.'!C142)/'I. Формування фін. рез.'!C113</f>
        <v>37.584066488159394</v>
      </c>
      <c r="E13" s="28">
        <f>('Осн. фін. пок.'!D141+'Осн. фін. пок.'!D142)/'I. Формування фін. рез.'!D113</f>
        <v>-20.853447924174212</v>
      </c>
      <c r="F13" s="28">
        <f>D13</f>
        <v>37.584066488159394</v>
      </c>
      <c r="G13" s="28">
        <f>('Осн. фін. пок.'!D141+'Осн. фін. пок.'!D142)/'I. Формування фін. рез.'!F113</f>
        <v>-20.853447924174212</v>
      </c>
      <c r="H13" s="81"/>
    </row>
    <row r="14" spans="1:8" s="5" customFormat="1" ht="38.1" customHeight="1" x14ac:dyDescent="0.2">
      <c r="A14" s="81" t="s">
        <v>325</v>
      </c>
      <c r="B14" s="84">
        <v>5110</v>
      </c>
      <c r="C14" s="79" t="s">
        <v>326</v>
      </c>
      <c r="D14" s="28">
        <f>'Осн. фін. пок.'!C146/('Осн. фін. пок.'!C141+'Осн. фін. пок.'!C142)</f>
        <v>0.67012550830168249</v>
      </c>
      <c r="E14" s="28">
        <f>'Осн. фін. пок.'!D146/('Осн. фін. пок.'!D141+'Осн. фін. пок.'!D142)</f>
        <v>0.38963156178676228</v>
      </c>
      <c r="F14" s="28">
        <f t="shared" ref="F14:F15" si="1">D14</f>
        <v>0.67012550830168249</v>
      </c>
      <c r="G14" s="28">
        <f>'Осн. фін. пок.'!D146/('Осн. фін. пок.'!D141+'Осн. фін. пок.'!D142)</f>
        <v>0.38963156178676228</v>
      </c>
      <c r="H14" s="81" t="s">
        <v>327</v>
      </c>
    </row>
    <row r="15" spans="1:8" s="5" customFormat="1" ht="38.1" customHeight="1" x14ac:dyDescent="0.2">
      <c r="A15" s="81" t="s">
        <v>328</v>
      </c>
      <c r="B15" s="84">
        <v>5120</v>
      </c>
      <c r="C15" s="79" t="s">
        <v>326</v>
      </c>
      <c r="D15" s="28">
        <f>'Осн. фін. пок.'!C138/'Осн. фін. пок.'!C142</f>
        <v>1.0462941973806561</v>
      </c>
      <c r="E15" s="28">
        <f>'Осн. фін. пок.'!D138/'Осн. фін. пок.'!D142</f>
        <v>0.98335833061623734</v>
      </c>
      <c r="F15" s="28">
        <f t="shared" si="1"/>
        <v>1.0462941973806561</v>
      </c>
      <c r="G15" s="28">
        <f>'Осн. фін. пок.'!D138/'Осн. фін. пок.'!D142</f>
        <v>0.98335833061623734</v>
      </c>
      <c r="H15" s="81" t="s">
        <v>329</v>
      </c>
    </row>
    <row r="16" spans="1:8" s="5" customFormat="1" ht="12.95" customHeight="1" x14ac:dyDescent="0.2">
      <c r="A16" s="148" t="s">
        <v>330</v>
      </c>
      <c r="B16" s="148"/>
      <c r="C16" s="148"/>
      <c r="D16" s="148"/>
      <c r="E16" s="148"/>
      <c r="F16" s="148"/>
      <c r="G16" s="148"/>
      <c r="H16" s="148"/>
    </row>
    <row r="17" spans="1:8" s="5" customFormat="1" ht="26.1" customHeight="1" x14ac:dyDescent="0.2">
      <c r="A17" s="81" t="s">
        <v>331</v>
      </c>
      <c r="B17" s="84">
        <v>5200</v>
      </c>
      <c r="C17" s="79"/>
      <c r="D17" s="28">
        <f>'Осн. фін. пок.'!C115/'Осн. фін. пок.'!C75</f>
        <v>1.6655487134374314</v>
      </c>
      <c r="E17" s="28">
        <f>'Осн. фін. пок.'!D115/'Осн. фін. пок.'!D75</f>
        <v>0.42153085701824528</v>
      </c>
      <c r="F17" s="28">
        <f>D17</f>
        <v>1.6655487134374314</v>
      </c>
      <c r="G17" s="28">
        <f>'Осн. фін. пок.'!F115/'Осн. фін. пок.'!F75</f>
        <v>0.42153085701824528</v>
      </c>
      <c r="H17" s="81"/>
    </row>
    <row r="18" spans="1:8" s="5" customFormat="1" ht="51" customHeight="1" x14ac:dyDescent="0.2">
      <c r="A18" s="81" t="s">
        <v>332</v>
      </c>
      <c r="B18" s="84">
        <v>5210</v>
      </c>
      <c r="C18" s="79"/>
      <c r="D18" s="28">
        <f>'Осн. фін. пок.'!C122/'Осн. фін. пок.'!C31</f>
        <v>3.4015255381098196E-2</v>
      </c>
      <c r="E18" s="28">
        <f>'Осн. фін. пок.'!D122/'Осн. фін. пок.'!D31</f>
        <v>6.6385813881606817E-3</v>
      </c>
      <c r="F18" s="28">
        <f t="shared" ref="F18:F19" si="2">D18</f>
        <v>3.4015255381098196E-2</v>
      </c>
      <c r="G18" s="28">
        <f>'Осн. фін. пок.'!F122/'Осн. фін. пок.'!F31</f>
        <v>6.6385813881606817E-3</v>
      </c>
      <c r="H18" s="81"/>
    </row>
    <row r="19" spans="1:8" s="5" customFormat="1" ht="38.1" customHeight="1" x14ac:dyDescent="0.2">
      <c r="A19" s="81" t="s">
        <v>333</v>
      </c>
      <c r="B19" s="84">
        <v>5220</v>
      </c>
      <c r="C19" s="79" t="s">
        <v>334</v>
      </c>
      <c r="D19" s="28">
        <f>'Осн. фін. пок.'!C137/'Осн. фін. пок.'!C136</f>
        <v>0.89356892626653461</v>
      </c>
      <c r="E19" s="28">
        <f>'Осн. фін. пок.'!D137/'Осн. фін. пок.'!D136</f>
        <v>0.90223599164596302</v>
      </c>
      <c r="F19" s="28">
        <f t="shared" si="2"/>
        <v>0.89356892626653461</v>
      </c>
      <c r="G19" s="28">
        <f>'Осн. фін. пок.'!D137/'Осн. фін. пок.'!D136</f>
        <v>0.90223599164596302</v>
      </c>
      <c r="H19" s="81" t="s">
        <v>335</v>
      </c>
    </row>
    <row r="20" spans="1:8" s="40" customFormat="1" ht="17.25" customHeight="1" x14ac:dyDescent="0.2">
      <c r="A20" s="41" t="s">
        <v>560</v>
      </c>
      <c r="B20" s="43"/>
      <c r="C20" s="44"/>
      <c r="D20" s="83"/>
      <c r="E20" s="83"/>
      <c r="F20" s="83"/>
      <c r="G20" s="83"/>
      <c r="H20" s="46"/>
    </row>
    <row r="21" spans="1:8" s="40" customFormat="1" ht="27.75" customHeight="1" x14ac:dyDescent="0.2">
      <c r="A21" s="42" t="s">
        <v>561</v>
      </c>
      <c r="B21" s="43" t="s">
        <v>562</v>
      </c>
      <c r="C21" s="44" t="s">
        <v>563</v>
      </c>
      <c r="D21" s="53">
        <v>1</v>
      </c>
      <c r="E21" s="53">
        <f>'Осн. фін. пок.'!D138/'Осн. фін. пок.'!D142</f>
        <v>0.98335833061623734</v>
      </c>
      <c r="F21" s="53">
        <f>D21</f>
        <v>1</v>
      </c>
      <c r="G21" s="53">
        <f>E21</f>
        <v>0.98335833061623734</v>
      </c>
      <c r="H21" s="45"/>
    </row>
    <row r="22" spans="1:8" s="40" customFormat="1" ht="30" customHeight="1" x14ac:dyDescent="0.2">
      <c r="A22" s="42" t="s">
        <v>564</v>
      </c>
      <c r="B22" s="43" t="s">
        <v>565</v>
      </c>
      <c r="C22" s="44" t="s">
        <v>566</v>
      </c>
      <c r="D22" s="53">
        <v>-8.6999999999999993</v>
      </c>
      <c r="E22" s="53">
        <f>('I. Формування фін. рез.'!D113-'I. Формування фін. рез.'!D120)/-'I. Формування фін. рез.'!D86</f>
        <v>-14.679938112429092</v>
      </c>
      <c r="F22" s="53">
        <f>D22</f>
        <v>-8.6999999999999993</v>
      </c>
      <c r="G22" s="53">
        <f>('I. Формування фін. рез.'!F113-'I. Формування фін. рез.'!F120)/-'I. Формування фін. рез.'!F86</f>
        <v>-14.679938112429092</v>
      </c>
      <c r="H22" s="45"/>
    </row>
    <row r="23" spans="1:8" s="16" customFormat="1" ht="12.95" customHeight="1" x14ac:dyDescent="0.2">
      <c r="A23" s="33"/>
      <c r="B23" s="34"/>
      <c r="C23" s="35"/>
      <c r="D23" s="36"/>
      <c r="E23" s="36"/>
      <c r="F23" s="36"/>
      <c r="G23" s="36"/>
      <c r="H23" s="33"/>
    </row>
    <row r="24" spans="1:8" s="16" customFormat="1" ht="12.95" customHeight="1" x14ac:dyDescent="0.2">
      <c r="A24" s="5"/>
      <c r="B24" s="5"/>
      <c r="C24" s="5"/>
      <c r="D24" s="5"/>
      <c r="E24" s="5"/>
      <c r="F24" s="5"/>
      <c r="G24" s="5"/>
      <c r="H24" s="5"/>
    </row>
    <row r="25" spans="1:8" ht="11.45" customHeight="1" x14ac:dyDescent="0.2">
      <c r="A25" s="85" t="s">
        <v>179</v>
      </c>
      <c r="B25" s="85"/>
      <c r="C25" s="85"/>
      <c r="D25" s="85"/>
      <c r="E25" s="85"/>
      <c r="F25" s="85"/>
      <c r="G25" s="85"/>
      <c r="H25" s="85"/>
    </row>
    <row r="26" spans="1:8" ht="11.45" customHeight="1" x14ac:dyDescent="0.2">
      <c r="A26" s="15" t="s">
        <v>592</v>
      </c>
      <c r="B26" s="85"/>
      <c r="C26" s="135"/>
      <c r="D26" s="135"/>
      <c r="E26" s="85"/>
      <c r="F26" s="136" t="s">
        <v>608</v>
      </c>
      <c r="G26" s="137"/>
      <c r="H26" s="137"/>
    </row>
    <row r="27" spans="1:8" ht="11.45" customHeight="1" x14ac:dyDescent="0.2">
      <c r="A27" s="93" t="s">
        <v>180</v>
      </c>
      <c r="B27" s="85"/>
      <c r="C27" s="116" t="s">
        <v>181</v>
      </c>
      <c r="D27" s="116"/>
      <c r="E27" s="85"/>
      <c r="F27" s="116" t="s">
        <v>182</v>
      </c>
      <c r="G27" s="116"/>
      <c r="H27" s="116"/>
    </row>
  </sheetData>
  <mergeCells count="14">
    <mergeCell ref="C27:D27"/>
    <mergeCell ref="F27:H27"/>
    <mergeCell ref="A6:H6"/>
    <mergeCell ref="A12:H12"/>
    <mergeCell ref="A16:H16"/>
    <mergeCell ref="C26:D26"/>
    <mergeCell ref="F26:H26"/>
    <mergeCell ref="A1:H1"/>
    <mergeCell ref="A3:A4"/>
    <mergeCell ref="B3:B4"/>
    <mergeCell ref="C3:C4"/>
    <mergeCell ref="D3:E3"/>
    <mergeCell ref="F3:G3"/>
    <mergeCell ref="H3:H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N81"/>
  <sheetViews>
    <sheetView zoomScaleNormal="100" workbookViewId="0">
      <selection activeCell="F13" sqref="F13:K17"/>
    </sheetView>
  </sheetViews>
  <sheetFormatPr defaultColWidth="8.7109375" defaultRowHeight="11.45" customHeight="1" x14ac:dyDescent="0.2"/>
  <cols>
    <col min="1" max="1" width="27.5703125" style="5" customWidth="1"/>
    <col min="2" max="4" width="8.7109375" style="5" customWidth="1"/>
    <col min="5" max="5" width="10.140625" style="5" customWidth="1"/>
    <col min="6" max="15" width="8.7109375" style="5" customWidth="1"/>
    <col min="16" max="16" width="8.7109375" style="11" customWidth="1"/>
    <col min="17" max="17" width="10.140625" style="23" hidden="1" customWidth="1"/>
    <col min="18" max="19" width="8.7109375" style="23" hidden="1" customWidth="1"/>
    <col min="20" max="20" width="10" style="23" hidden="1" customWidth="1"/>
    <col min="21" max="34" width="8.7109375" style="23" hidden="1" customWidth="1"/>
    <col min="35" max="35" width="9.140625" style="23" hidden="1" customWidth="1"/>
    <col min="36" max="39" width="8.7109375" style="23" hidden="1" customWidth="1"/>
    <col min="40" max="40" width="9.140625" style="23" hidden="1" customWidth="1"/>
    <col min="41" max="16384" width="8.7109375" style="11"/>
  </cols>
  <sheetData>
    <row r="1" spans="1:40" s="5" customFormat="1" ht="12.95" customHeight="1" x14ac:dyDescent="0.2">
      <c r="A1" s="116" t="s">
        <v>336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</row>
    <row r="2" spans="1:40" s="5" customFormat="1" ht="12.95" customHeight="1" x14ac:dyDescent="0.2">
      <c r="A2" s="133" t="s">
        <v>601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</row>
    <row r="3" spans="1:40" s="5" customFormat="1" ht="11.25" customHeight="1" x14ac:dyDescent="0.2">
      <c r="A3" s="116" t="s">
        <v>493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</row>
    <row r="4" spans="1:40" s="5" customFormat="1" ht="11.25" customHeight="1" x14ac:dyDescent="0.2">
      <c r="A4" s="158" t="s">
        <v>337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</row>
    <row r="5" spans="1:40" s="5" customFormat="1" ht="12.95" customHeight="1" x14ac:dyDescent="0.2">
      <c r="A5" s="156" t="s">
        <v>547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</row>
    <row r="6" spans="1:40" s="5" customFormat="1" ht="3" customHeight="1" x14ac:dyDescent="0.2"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s="5" customFormat="1" ht="12.95" customHeight="1" x14ac:dyDescent="0.2">
      <c r="A7" s="114" t="s">
        <v>338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</row>
    <row r="8" spans="1:40" s="5" customFormat="1" ht="66.75" customHeight="1" x14ac:dyDescent="0.2">
      <c r="A8" s="159" t="s">
        <v>577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</row>
    <row r="9" spans="1:40" s="5" customFormat="1" ht="2.25" customHeight="1" x14ac:dyDescent="0.2"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</row>
    <row r="10" spans="1:40" s="5" customFormat="1" ht="60.75" customHeight="1" x14ac:dyDescent="0.2">
      <c r="A10" s="130" t="s">
        <v>40</v>
      </c>
      <c r="B10" s="130"/>
      <c r="C10" s="130"/>
      <c r="D10" s="130"/>
      <c r="E10" s="130"/>
      <c r="F10" s="145" t="s">
        <v>339</v>
      </c>
      <c r="G10" s="145"/>
      <c r="H10" s="145" t="s">
        <v>340</v>
      </c>
      <c r="I10" s="145"/>
      <c r="J10" s="145" t="s">
        <v>341</v>
      </c>
      <c r="K10" s="145"/>
      <c r="L10" s="145" t="s">
        <v>342</v>
      </c>
      <c r="M10" s="145"/>
      <c r="N10" s="145" t="s">
        <v>343</v>
      </c>
      <c r="O10" s="145"/>
      <c r="Q10" s="18"/>
      <c r="R10" s="18"/>
      <c r="S10" s="18"/>
      <c r="T10" s="19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</row>
    <row r="11" spans="1:40" s="5" customFormat="1" ht="12.95" customHeight="1" x14ac:dyDescent="0.2">
      <c r="A11" s="161">
        <v>1</v>
      </c>
      <c r="B11" s="161"/>
      <c r="C11" s="161"/>
      <c r="D11" s="161"/>
      <c r="E11" s="161"/>
      <c r="F11" s="162">
        <v>2</v>
      </c>
      <c r="G11" s="162"/>
      <c r="H11" s="162">
        <v>3</v>
      </c>
      <c r="I11" s="162"/>
      <c r="J11" s="162">
        <v>4</v>
      </c>
      <c r="K11" s="162"/>
      <c r="L11" s="162">
        <v>5</v>
      </c>
      <c r="M11" s="162"/>
      <c r="N11" s="162">
        <v>6</v>
      </c>
      <c r="O11" s="162"/>
      <c r="Q11" s="18"/>
      <c r="R11" s="18"/>
      <c r="S11" s="18"/>
      <c r="T11" s="19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5">
        <v>1</v>
      </c>
      <c r="AK11" s="5">
        <v>2</v>
      </c>
      <c r="AL11" s="5">
        <v>3</v>
      </c>
      <c r="AM11" s="5">
        <v>4</v>
      </c>
    </row>
    <row r="12" spans="1:40" s="5" customFormat="1" ht="37.5" customHeight="1" x14ac:dyDescent="0.2">
      <c r="A12" s="154" t="s">
        <v>511</v>
      </c>
      <c r="B12" s="163"/>
      <c r="C12" s="163"/>
      <c r="D12" s="163"/>
      <c r="E12" s="164"/>
      <c r="F12" s="152">
        <f>SUM(F15:G17)</f>
        <v>1679</v>
      </c>
      <c r="G12" s="152"/>
      <c r="H12" s="152">
        <f>SUM(H13:I17)</f>
        <v>1674</v>
      </c>
      <c r="I12" s="152"/>
      <c r="J12" s="152">
        <f>SUM(J13:K17)</f>
        <v>1686</v>
      </c>
      <c r="K12" s="152"/>
      <c r="L12" s="152">
        <f>J12-H12</f>
        <v>12</v>
      </c>
      <c r="M12" s="152"/>
      <c r="N12" s="166">
        <f>J12/H12*100</f>
        <v>100.71684587813621</v>
      </c>
      <c r="O12" s="166"/>
      <c r="Q12" s="18"/>
      <c r="R12" s="18"/>
      <c r="S12" s="18"/>
      <c r="T12" s="19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5">
        <v>1674</v>
      </c>
      <c r="AJ12" s="5">
        <v>1616</v>
      </c>
      <c r="AK12" s="5">
        <v>1701</v>
      </c>
      <c r="AL12" s="5">
        <v>1722</v>
      </c>
      <c r="AM12" s="5">
        <f>AI12-AJ12-AK12-AL12</f>
        <v>-3365</v>
      </c>
      <c r="AN12" s="58"/>
    </row>
    <row r="13" spans="1:40" s="5" customFormat="1" ht="10.5" customHeight="1" x14ac:dyDescent="0.2">
      <c r="A13" s="153" t="s">
        <v>548</v>
      </c>
      <c r="B13" s="153"/>
      <c r="C13" s="153"/>
      <c r="D13" s="153"/>
      <c r="E13" s="153"/>
      <c r="F13" s="150">
        <v>0</v>
      </c>
      <c r="G13" s="150"/>
      <c r="H13" s="150">
        <v>0</v>
      </c>
      <c r="I13" s="150"/>
      <c r="J13" s="150">
        <v>0</v>
      </c>
      <c r="K13" s="150"/>
      <c r="L13" s="150">
        <f>J13-H13</f>
        <v>0</v>
      </c>
      <c r="M13" s="150"/>
      <c r="N13" s="149" t="s">
        <v>426</v>
      </c>
      <c r="O13" s="149"/>
      <c r="Q13" s="18"/>
      <c r="R13" s="18"/>
      <c r="S13" s="18"/>
      <c r="T13" s="19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J13" s="5">
        <v>0</v>
      </c>
      <c r="AK13" s="5">
        <v>0</v>
      </c>
      <c r="AL13" s="5">
        <v>0</v>
      </c>
      <c r="AM13" s="5">
        <f t="shared" ref="AM13:AM38" si="0">AI13-AJ13-AK13-AL13</f>
        <v>0</v>
      </c>
      <c r="AN13" s="58"/>
    </row>
    <row r="14" spans="1:40" s="5" customFormat="1" ht="12" customHeight="1" x14ac:dyDescent="0.2">
      <c r="A14" s="165" t="s">
        <v>549</v>
      </c>
      <c r="B14" s="153"/>
      <c r="C14" s="153"/>
      <c r="D14" s="153"/>
      <c r="E14" s="153"/>
      <c r="F14" s="150">
        <v>0</v>
      </c>
      <c r="G14" s="150"/>
      <c r="H14" s="150">
        <v>8</v>
      </c>
      <c r="I14" s="150"/>
      <c r="J14" s="150">
        <v>7</v>
      </c>
      <c r="K14" s="150"/>
      <c r="L14" s="150">
        <f>J14-H14</f>
        <v>-1</v>
      </c>
      <c r="M14" s="150"/>
      <c r="N14" s="149">
        <f>J14/H14*100</f>
        <v>87.5</v>
      </c>
      <c r="O14" s="149"/>
      <c r="Q14" s="18"/>
      <c r="R14" s="18"/>
      <c r="S14" s="18"/>
      <c r="T14" s="19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5">
        <v>8</v>
      </c>
      <c r="AJ14" s="5">
        <v>8</v>
      </c>
      <c r="AK14" s="5">
        <v>8</v>
      </c>
      <c r="AL14" s="5">
        <v>8</v>
      </c>
      <c r="AM14" s="5">
        <f t="shared" si="0"/>
        <v>-16</v>
      </c>
      <c r="AN14" s="58"/>
    </row>
    <row r="15" spans="1:40" s="5" customFormat="1" ht="12.75" customHeight="1" x14ac:dyDescent="0.2">
      <c r="A15" s="153" t="s">
        <v>550</v>
      </c>
      <c r="B15" s="153"/>
      <c r="C15" s="153"/>
      <c r="D15" s="153"/>
      <c r="E15" s="153"/>
      <c r="F15" s="150">
        <v>1</v>
      </c>
      <c r="G15" s="150"/>
      <c r="H15" s="150">
        <v>1</v>
      </c>
      <c r="I15" s="150"/>
      <c r="J15" s="150">
        <v>1</v>
      </c>
      <c r="K15" s="150"/>
      <c r="L15" s="150">
        <f t="shared" ref="L15:L38" si="1">J15-H15</f>
        <v>0</v>
      </c>
      <c r="M15" s="150"/>
      <c r="N15" s="149">
        <f t="shared" ref="N15:N38" si="2">J15/H15*100</f>
        <v>100</v>
      </c>
      <c r="O15" s="149"/>
      <c r="Q15" s="18"/>
      <c r="R15" s="18"/>
      <c r="S15" s="18"/>
      <c r="T15" s="19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5">
        <v>1</v>
      </c>
      <c r="AJ15" s="5">
        <v>1</v>
      </c>
      <c r="AK15" s="5">
        <v>1</v>
      </c>
      <c r="AL15" s="5">
        <v>1</v>
      </c>
      <c r="AM15" s="5">
        <f t="shared" si="0"/>
        <v>-2</v>
      </c>
      <c r="AN15" s="58"/>
    </row>
    <row r="16" spans="1:40" s="5" customFormat="1" ht="12.75" customHeight="1" x14ac:dyDescent="0.2">
      <c r="A16" s="153" t="s">
        <v>176</v>
      </c>
      <c r="B16" s="153"/>
      <c r="C16" s="153"/>
      <c r="D16" s="153"/>
      <c r="E16" s="153"/>
      <c r="F16" s="150">
        <v>231</v>
      </c>
      <c r="G16" s="150"/>
      <c r="H16" s="150">
        <v>232</v>
      </c>
      <c r="I16" s="150"/>
      <c r="J16" s="150">
        <v>228</v>
      </c>
      <c r="K16" s="150"/>
      <c r="L16" s="150">
        <f t="shared" si="1"/>
        <v>-4</v>
      </c>
      <c r="M16" s="150"/>
      <c r="N16" s="149">
        <f t="shared" si="2"/>
        <v>98.275862068965509</v>
      </c>
      <c r="O16" s="149"/>
      <c r="Q16" s="18"/>
      <c r="R16" s="18"/>
      <c r="S16" s="18"/>
      <c r="T16" s="19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5">
        <v>232</v>
      </c>
      <c r="AJ16" s="5">
        <v>232</v>
      </c>
      <c r="AK16" s="5">
        <v>232</v>
      </c>
      <c r="AL16" s="5">
        <v>232</v>
      </c>
      <c r="AM16" s="5">
        <f t="shared" si="0"/>
        <v>-464</v>
      </c>
      <c r="AN16" s="58"/>
    </row>
    <row r="17" spans="1:40" s="5" customFormat="1" ht="12.75" customHeight="1" x14ac:dyDescent="0.2">
      <c r="A17" s="153" t="s">
        <v>177</v>
      </c>
      <c r="B17" s="153"/>
      <c r="C17" s="153"/>
      <c r="D17" s="153"/>
      <c r="E17" s="153"/>
      <c r="F17" s="150">
        <v>1447</v>
      </c>
      <c r="G17" s="150"/>
      <c r="H17" s="150">
        <v>1433</v>
      </c>
      <c r="I17" s="150"/>
      <c r="J17" s="150">
        <v>1450</v>
      </c>
      <c r="K17" s="150"/>
      <c r="L17" s="150">
        <f t="shared" si="1"/>
        <v>17</v>
      </c>
      <c r="M17" s="150"/>
      <c r="N17" s="149">
        <f t="shared" si="2"/>
        <v>101.18632240055827</v>
      </c>
      <c r="O17" s="149"/>
      <c r="Q17" s="18"/>
      <c r="R17" s="18"/>
      <c r="S17" s="18"/>
      <c r="T17" s="19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5">
        <v>1433</v>
      </c>
      <c r="AJ17" s="5">
        <v>1375</v>
      </c>
      <c r="AK17" s="5">
        <v>1460</v>
      </c>
      <c r="AL17" s="5">
        <v>1481</v>
      </c>
      <c r="AM17" s="5">
        <f t="shared" si="0"/>
        <v>-2883</v>
      </c>
      <c r="AN17" s="58"/>
    </row>
    <row r="18" spans="1:40" s="5" customFormat="1" ht="11.25" customHeight="1" x14ac:dyDescent="0.2">
      <c r="A18" s="154" t="s">
        <v>497</v>
      </c>
      <c r="B18" s="155"/>
      <c r="C18" s="155"/>
      <c r="D18" s="155"/>
      <c r="E18" s="155"/>
      <c r="F18" s="152">
        <f>SUM(F21:G23)</f>
        <v>136789.20000000001</v>
      </c>
      <c r="G18" s="152"/>
      <c r="H18" s="152">
        <f>SUM(H19:I23)</f>
        <v>140100</v>
      </c>
      <c r="I18" s="152"/>
      <c r="J18" s="152">
        <f>SUM(J19:K23)</f>
        <v>161010.79999999999</v>
      </c>
      <c r="K18" s="152"/>
      <c r="L18" s="152">
        <f t="shared" si="1"/>
        <v>20910.799999999988</v>
      </c>
      <c r="M18" s="152"/>
      <c r="N18" s="166">
        <f t="shared" si="2"/>
        <v>114.92562455389006</v>
      </c>
      <c r="O18" s="166"/>
      <c r="Q18" s="18">
        <v>17663</v>
      </c>
      <c r="R18" s="18">
        <v>20346</v>
      </c>
      <c r="S18" s="18">
        <v>31206</v>
      </c>
      <c r="T18" s="19">
        <f t="shared" ref="T18:T38" si="3">H18+Q18+R18+S18</f>
        <v>209315</v>
      </c>
      <c r="U18" s="18">
        <v>96085</v>
      </c>
      <c r="V18" s="18">
        <f>U18-Q18-R18-S18</f>
        <v>26870</v>
      </c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5">
        <v>140100</v>
      </c>
      <c r="AJ18" s="5">
        <v>29010</v>
      </c>
      <c r="AK18" s="5">
        <v>34395</v>
      </c>
      <c r="AL18" s="5">
        <v>41955</v>
      </c>
      <c r="AM18" s="5">
        <f t="shared" si="0"/>
        <v>34740</v>
      </c>
      <c r="AN18" s="58">
        <f t="shared" ref="AN18:AN38" si="4">H18-AM18</f>
        <v>105360</v>
      </c>
    </row>
    <row r="19" spans="1:40" s="5" customFormat="1" ht="11.25" customHeight="1" x14ac:dyDescent="0.2">
      <c r="A19" s="153" t="s">
        <v>548</v>
      </c>
      <c r="B19" s="153"/>
      <c r="C19" s="153"/>
      <c r="D19" s="153"/>
      <c r="E19" s="153"/>
      <c r="F19" s="150">
        <v>0</v>
      </c>
      <c r="G19" s="150"/>
      <c r="H19" s="150">
        <v>0</v>
      </c>
      <c r="I19" s="150"/>
      <c r="J19" s="150">
        <v>0</v>
      </c>
      <c r="K19" s="150"/>
      <c r="L19" s="150">
        <f>J19-H19</f>
        <v>0</v>
      </c>
      <c r="M19" s="150"/>
      <c r="N19" s="149" t="s">
        <v>426</v>
      </c>
      <c r="O19" s="149"/>
      <c r="Q19" s="18"/>
      <c r="R19" s="18"/>
      <c r="S19" s="18"/>
      <c r="T19" s="19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J19" s="5">
        <v>0</v>
      </c>
      <c r="AK19" s="5">
        <v>0</v>
      </c>
      <c r="AL19" s="5">
        <v>0</v>
      </c>
      <c r="AM19" s="5">
        <f t="shared" si="0"/>
        <v>0</v>
      </c>
      <c r="AN19" s="58">
        <f t="shared" si="4"/>
        <v>0</v>
      </c>
    </row>
    <row r="20" spans="1:40" s="5" customFormat="1" ht="13.5" customHeight="1" x14ac:dyDescent="0.2">
      <c r="A20" s="165" t="s">
        <v>549</v>
      </c>
      <c r="B20" s="153"/>
      <c r="C20" s="153"/>
      <c r="D20" s="153"/>
      <c r="E20" s="153"/>
      <c r="F20" s="150">
        <v>0</v>
      </c>
      <c r="G20" s="150"/>
      <c r="H20" s="150">
        <v>7040</v>
      </c>
      <c r="I20" s="150"/>
      <c r="J20" s="150">
        <v>4769.3</v>
      </c>
      <c r="K20" s="150"/>
      <c r="L20" s="150">
        <f>J20-H20</f>
        <v>-2270.6999999999998</v>
      </c>
      <c r="M20" s="150"/>
      <c r="N20" s="149">
        <f>J20/H20*100</f>
        <v>67.74573863636364</v>
      </c>
      <c r="O20" s="149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5">
        <v>7040</v>
      </c>
      <c r="AJ20" s="5">
        <v>1300</v>
      </c>
      <c r="AK20" s="5">
        <v>1770</v>
      </c>
      <c r="AL20" s="5">
        <v>1775</v>
      </c>
      <c r="AM20" s="5">
        <f t="shared" si="0"/>
        <v>2195</v>
      </c>
      <c r="AN20" s="58">
        <f t="shared" si="4"/>
        <v>4845</v>
      </c>
    </row>
    <row r="21" spans="1:40" s="5" customFormat="1" ht="12" customHeight="1" x14ac:dyDescent="0.2">
      <c r="A21" s="153" t="s">
        <v>550</v>
      </c>
      <c r="B21" s="153"/>
      <c r="C21" s="153"/>
      <c r="D21" s="153"/>
      <c r="E21" s="153"/>
      <c r="F21" s="150">
        <v>656.6</v>
      </c>
      <c r="G21" s="150"/>
      <c r="H21" s="150">
        <v>2035</v>
      </c>
      <c r="I21" s="150"/>
      <c r="J21" s="150">
        <v>949.1</v>
      </c>
      <c r="K21" s="150"/>
      <c r="L21" s="150">
        <f t="shared" si="1"/>
        <v>-1085.9000000000001</v>
      </c>
      <c r="M21" s="150"/>
      <c r="N21" s="149">
        <f t="shared" si="2"/>
        <v>46.63882063882064</v>
      </c>
      <c r="O21" s="149"/>
      <c r="Q21" s="18">
        <v>94</v>
      </c>
      <c r="R21" s="18">
        <v>109</v>
      </c>
      <c r="S21" s="18">
        <v>109</v>
      </c>
      <c r="T21" s="19">
        <f t="shared" si="3"/>
        <v>2347</v>
      </c>
      <c r="U21" s="18">
        <v>560</v>
      </c>
      <c r="V21" s="18">
        <f t="shared" ref="V21:V29" si="5">U21-Q21-R21-S21</f>
        <v>248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5">
        <v>2035</v>
      </c>
      <c r="AJ21" s="5">
        <v>275</v>
      </c>
      <c r="AK21" s="5">
        <v>550</v>
      </c>
      <c r="AL21" s="5">
        <v>760</v>
      </c>
      <c r="AM21" s="5">
        <f t="shared" si="0"/>
        <v>450</v>
      </c>
      <c r="AN21" s="58">
        <f t="shared" si="4"/>
        <v>1585</v>
      </c>
    </row>
    <row r="22" spans="1:40" s="5" customFormat="1" ht="12" customHeight="1" x14ac:dyDescent="0.2">
      <c r="A22" s="153" t="s">
        <v>176</v>
      </c>
      <c r="B22" s="153"/>
      <c r="C22" s="153"/>
      <c r="D22" s="153"/>
      <c r="E22" s="153"/>
      <c r="F22" s="150">
        <v>31146.5</v>
      </c>
      <c r="G22" s="150"/>
      <c r="H22" s="150">
        <v>34565</v>
      </c>
      <c r="I22" s="150"/>
      <c r="J22" s="150">
        <f>39972.7-J20-J21</f>
        <v>34254.299999999996</v>
      </c>
      <c r="K22" s="150"/>
      <c r="L22" s="150">
        <f t="shared" si="1"/>
        <v>-310.70000000000437</v>
      </c>
      <c r="M22" s="150"/>
      <c r="N22" s="149">
        <f t="shared" si="2"/>
        <v>99.101113843483276</v>
      </c>
      <c r="O22" s="149"/>
      <c r="Q22" s="18">
        <v>3981</v>
      </c>
      <c r="R22" s="18">
        <v>4766</v>
      </c>
      <c r="S22" s="18">
        <v>8401</v>
      </c>
      <c r="T22" s="19">
        <f t="shared" si="3"/>
        <v>51713</v>
      </c>
      <c r="U22" s="18">
        <v>23480</v>
      </c>
      <c r="V22" s="18">
        <f t="shared" si="5"/>
        <v>6332</v>
      </c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5">
        <v>34565</v>
      </c>
      <c r="AJ22" s="5">
        <v>8000</v>
      </c>
      <c r="AK22" s="5">
        <v>8075</v>
      </c>
      <c r="AL22" s="5">
        <v>8100</v>
      </c>
      <c r="AM22" s="5">
        <f t="shared" si="0"/>
        <v>10390</v>
      </c>
      <c r="AN22" s="58">
        <f t="shared" si="4"/>
        <v>24175</v>
      </c>
    </row>
    <row r="23" spans="1:40" s="5" customFormat="1" ht="12" customHeight="1" x14ac:dyDescent="0.2">
      <c r="A23" s="153" t="s">
        <v>177</v>
      </c>
      <c r="B23" s="153"/>
      <c r="C23" s="153"/>
      <c r="D23" s="153"/>
      <c r="E23" s="153"/>
      <c r="F23" s="150">
        <v>104986.1</v>
      </c>
      <c r="G23" s="150"/>
      <c r="H23" s="150">
        <v>96460</v>
      </c>
      <c r="I23" s="150"/>
      <c r="J23" s="150">
        <f>161010.8-39972.7</f>
        <v>121038.09999999999</v>
      </c>
      <c r="K23" s="150"/>
      <c r="L23" s="150">
        <f t="shared" si="1"/>
        <v>24578.099999999991</v>
      </c>
      <c r="M23" s="150"/>
      <c r="N23" s="149">
        <f t="shared" si="2"/>
        <v>125.48009537632178</v>
      </c>
      <c r="O23" s="149"/>
      <c r="Q23" s="18">
        <v>13588</v>
      </c>
      <c r="R23" s="18">
        <v>15471</v>
      </c>
      <c r="S23" s="18">
        <v>22696</v>
      </c>
      <c r="T23" s="19">
        <f t="shared" si="3"/>
        <v>148215</v>
      </c>
      <c r="U23" s="18">
        <v>72045</v>
      </c>
      <c r="V23" s="18">
        <f t="shared" si="5"/>
        <v>20290</v>
      </c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5">
        <v>96460</v>
      </c>
      <c r="AJ23" s="5">
        <v>19435</v>
      </c>
      <c r="AK23" s="5">
        <v>24000</v>
      </c>
      <c r="AL23" s="5">
        <v>31320</v>
      </c>
      <c r="AM23" s="5">
        <f t="shared" si="0"/>
        <v>21705</v>
      </c>
      <c r="AN23" s="58">
        <f t="shared" si="4"/>
        <v>74755</v>
      </c>
    </row>
    <row r="24" spans="1:40" s="5" customFormat="1" ht="12" customHeight="1" x14ac:dyDescent="0.2">
      <c r="A24" s="154" t="s">
        <v>498</v>
      </c>
      <c r="B24" s="155"/>
      <c r="C24" s="155"/>
      <c r="D24" s="155"/>
      <c r="E24" s="155"/>
      <c r="F24" s="152">
        <f>SUM(F27:G29)</f>
        <v>145699</v>
      </c>
      <c r="G24" s="152"/>
      <c r="H24" s="152">
        <f>SUM(H25:I29)</f>
        <v>148090</v>
      </c>
      <c r="I24" s="152"/>
      <c r="J24" s="152">
        <f>SUM(J25:K29)</f>
        <v>168776</v>
      </c>
      <c r="K24" s="152"/>
      <c r="L24" s="152">
        <f t="shared" si="1"/>
        <v>20686</v>
      </c>
      <c r="M24" s="152"/>
      <c r="N24" s="166">
        <f t="shared" si="2"/>
        <v>113.96853264906477</v>
      </c>
      <c r="O24" s="166"/>
      <c r="Q24" s="18">
        <v>18465</v>
      </c>
      <c r="R24" s="18">
        <v>21300</v>
      </c>
      <c r="S24" s="18">
        <v>32160</v>
      </c>
      <c r="T24" s="19">
        <f>H24+Q24+R24+S24</f>
        <v>220015</v>
      </c>
      <c r="U24" s="18">
        <v>96085</v>
      </c>
      <c r="V24" s="18">
        <f t="shared" si="5"/>
        <v>24160</v>
      </c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5">
        <v>148090</v>
      </c>
      <c r="AJ24" s="5">
        <v>30940</v>
      </c>
      <c r="AK24" s="5">
        <v>36445</v>
      </c>
      <c r="AL24" s="5">
        <v>44035</v>
      </c>
      <c r="AM24" s="5">
        <f t="shared" si="0"/>
        <v>36670</v>
      </c>
      <c r="AN24" s="58">
        <f t="shared" si="4"/>
        <v>111420</v>
      </c>
    </row>
    <row r="25" spans="1:40" s="5" customFormat="1" ht="12" customHeight="1" x14ac:dyDescent="0.2">
      <c r="A25" s="153" t="s">
        <v>548</v>
      </c>
      <c r="B25" s="153"/>
      <c r="C25" s="153"/>
      <c r="D25" s="153"/>
      <c r="E25" s="153"/>
      <c r="F25" s="150">
        <v>0</v>
      </c>
      <c r="G25" s="150"/>
      <c r="H25" s="150">
        <v>0</v>
      </c>
      <c r="I25" s="150"/>
      <c r="J25" s="150">
        <v>0</v>
      </c>
      <c r="K25" s="150"/>
      <c r="L25" s="150">
        <f>J25-H25</f>
        <v>0</v>
      </c>
      <c r="M25" s="150"/>
      <c r="N25" s="149" t="s">
        <v>426</v>
      </c>
      <c r="O25" s="149"/>
      <c r="Q25" s="18"/>
      <c r="R25" s="18"/>
      <c r="S25" s="18"/>
      <c r="T25" s="19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5">
        <v>0</v>
      </c>
      <c r="AJ25" s="5">
        <v>0</v>
      </c>
      <c r="AK25" s="5">
        <v>0</v>
      </c>
      <c r="AL25" s="5">
        <v>0</v>
      </c>
      <c r="AM25" s="5">
        <f t="shared" si="0"/>
        <v>0</v>
      </c>
      <c r="AN25" s="58">
        <f t="shared" si="4"/>
        <v>0</v>
      </c>
    </row>
    <row r="26" spans="1:40" s="5" customFormat="1" ht="12" customHeight="1" x14ac:dyDescent="0.2">
      <c r="A26" s="165" t="s">
        <v>549</v>
      </c>
      <c r="B26" s="153"/>
      <c r="C26" s="153"/>
      <c r="D26" s="153"/>
      <c r="E26" s="153"/>
      <c r="F26" s="150">
        <v>0</v>
      </c>
      <c r="G26" s="150"/>
      <c r="H26" s="150">
        <v>7040</v>
      </c>
      <c r="I26" s="150"/>
      <c r="J26" s="150">
        <v>4769.3</v>
      </c>
      <c r="K26" s="150"/>
      <c r="L26" s="150">
        <f>J26-H26</f>
        <v>-2270.6999999999998</v>
      </c>
      <c r="M26" s="150"/>
      <c r="N26" s="149">
        <f>J26/H26*100</f>
        <v>67.74573863636364</v>
      </c>
      <c r="O26" s="149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5">
        <v>7040</v>
      </c>
      <c r="AJ26" s="5">
        <v>1300</v>
      </c>
      <c r="AK26" s="5">
        <v>1770</v>
      </c>
      <c r="AL26" s="5">
        <v>1775</v>
      </c>
      <c r="AM26" s="5">
        <f t="shared" si="0"/>
        <v>2195</v>
      </c>
      <c r="AN26" s="58">
        <f t="shared" si="4"/>
        <v>4845</v>
      </c>
    </row>
    <row r="27" spans="1:40" s="5" customFormat="1" ht="11.25" customHeight="1" x14ac:dyDescent="0.2">
      <c r="A27" s="153" t="s">
        <v>550</v>
      </c>
      <c r="B27" s="153"/>
      <c r="C27" s="153"/>
      <c r="D27" s="153"/>
      <c r="E27" s="153"/>
      <c r="F27" s="150">
        <v>656.6</v>
      </c>
      <c r="G27" s="150"/>
      <c r="H27" s="150">
        <v>2035</v>
      </c>
      <c r="I27" s="150"/>
      <c r="J27" s="150">
        <v>949.1</v>
      </c>
      <c r="K27" s="150"/>
      <c r="L27" s="150">
        <f t="shared" si="1"/>
        <v>-1085.9000000000001</v>
      </c>
      <c r="M27" s="150"/>
      <c r="N27" s="149">
        <f t="shared" si="2"/>
        <v>46.63882063882064</v>
      </c>
      <c r="O27" s="149"/>
      <c r="Q27" s="18">
        <v>94</v>
      </c>
      <c r="R27" s="18">
        <v>109</v>
      </c>
      <c r="S27" s="18">
        <v>109</v>
      </c>
      <c r="T27" s="19">
        <f t="shared" si="3"/>
        <v>2347</v>
      </c>
      <c r="U27" s="18">
        <v>560</v>
      </c>
      <c r="V27" s="18">
        <f t="shared" si="5"/>
        <v>248</v>
      </c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5">
        <v>2035</v>
      </c>
      <c r="AJ27" s="5">
        <v>275</v>
      </c>
      <c r="AK27" s="5">
        <v>550</v>
      </c>
      <c r="AL27" s="5">
        <v>760</v>
      </c>
      <c r="AM27" s="5">
        <f t="shared" si="0"/>
        <v>450</v>
      </c>
      <c r="AN27" s="58">
        <f t="shared" si="4"/>
        <v>1585</v>
      </c>
    </row>
    <row r="28" spans="1:40" s="5" customFormat="1" ht="11.25" customHeight="1" x14ac:dyDescent="0.2">
      <c r="A28" s="153" t="s">
        <v>176</v>
      </c>
      <c r="B28" s="153"/>
      <c r="C28" s="153"/>
      <c r="D28" s="153"/>
      <c r="E28" s="153"/>
      <c r="F28" s="150">
        <v>31146.5</v>
      </c>
      <c r="G28" s="150"/>
      <c r="H28" s="150">
        <v>34565</v>
      </c>
      <c r="I28" s="150"/>
      <c r="J28" s="150">
        <v>34254.300000000003</v>
      </c>
      <c r="K28" s="150"/>
      <c r="L28" s="150">
        <f t="shared" si="1"/>
        <v>-310.69999999999709</v>
      </c>
      <c r="M28" s="150"/>
      <c r="N28" s="149">
        <f t="shared" si="2"/>
        <v>99.101113843483304</v>
      </c>
      <c r="O28" s="149"/>
      <c r="Q28" s="18">
        <v>3981</v>
      </c>
      <c r="R28" s="18">
        <v>4766</v>
      </c>
      <c r="S28" s="18">
        <v>8401</v>
      </c>
      <c r="T28" s="19">
        <f t="shared" si="3"/>
        <v>51713</v>
      </c>
      <c r="U28" s="18">
        <v>23480</v>
      </c>
      <c r="V28" s="18">
        <f t="shared" si="5"/>
        <v>6332</v>
      </c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5">
        <v>34565</v>
      </c>
      <c r="AJ28" s="5">
        <v>8000</v>
      </c>
      <c r="AK28" s="5">
        <v>8075</v>
      </c>
      <c r="AL28" s="5">
        <v>8100</v>
      </c>
      <c r="AM28" s="5">
        <f t="shared" si="0"/>
        <v>10390</v>
      </c>
      <c r="AN28" s="58">
        <f t="shared" si="4"/>
        <v>24175</v>
      </c>
    </row>
    <row r="29" spans="1:40" s="5" customFormat="1" ht="11.25" customHeight="1" x14ac:dyDescent="0.2">
      <c r="A29" s="153" t="s">
        <v>177</v>
      </c>
      <c r="B29" s="153"/>
      <c r="C29" s="153"/>
      <c r="D29" s="153"/>
      <c r="E29" s="153"/>
      <c r="F29" s="150">
        <v>113895.9</v>
      </c>
      <c r="G29" s="150"/>
      <c r="H29" s="150">
        <v>104450</v>
      </c>
      <c r="I29" s="150"/>
      <c r="J29" s="150">
        <v>128803.3</v>
      </c>
      <c r="K29" s="150"/>
      <c r="L29" s="150">
        <f t="shared" si="1"/>
        <v>24353.300000000003</v>
      </c>
      <c r="M29" s="150"/>
      <c r="N29" s="149">
        <f t="shared" si="2"/>
        <v>123.31574916227861</v>
      </c>
      <c r="O29" s="149"/>
      <c r="Q29" s="18">
        <v>14390</v>
      </c>
      <c r="R29" s="18">
        <v>16425</v>
      </c>
      <c r="S29" s="18">
        <v>23650</v>
      </c>
      <c r="T29" s="19">
        <f t="shared" si="3"/>
        <v>158915</v>
      </c>
      <c r="U29" s="18">
        <v>72045</v>
      </c>
      <c r="V29" s="18">
        <f t="shared" si="5"/>
        <v>17580</v>
      </c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5">
        <v>104450</v>
      </c>
      <c r="AJ29" s="5">
        <v>21365</v>
      </c>
      <c r="AK29" s="5">
        <v>26050</v>
      </c>
      <c r="AL29" s="5">
        <v>33400</v>
      </c>
      <c r="AM29" s="5">
        <f t="shared" si="0"/>
        <v>23635</v>
      </c>
      <c r="AN29" s="58">
        <f t="shared" si="4"/>
        <v>80815</v>
      </c>
    </row>
    <row r="30" spans="1:40" s="5" customFormat="1" ht="21" customHeight="1" x14ac:dyDescent="0.2">
      <c r="A30" s="154" t="s">
        <v>499</v>
      </c>
      <c r="B30" s="155"/>
      <c r="C30" s="155"/>
      <c r="D30" s="155"/>
      <c r="E30" s="155"/>
      <c r="F30" s="152">
        <f>F24/F12/12*1000</f>
        <v>7231.4373635100255</v>
      </c>
      <c r="G30" s="152"/>
      <c r="H30" s="152">
        <f>H24/H12/12*1000</f>
        <v>7372.0629231381927</v>
      </c>
      <c r="I30" s="152"/>
      <c r="J30" s="152">
        <f>J24/J12/12*1000</f>
        <v>8342.0324238829562</v>
      </c>
      <c r="K30" s="152"/>
      <c r="L30" s="152">
        <f t="shared" si="1"/>
        <v>969.96950074476354</v>
      </c>
      <c r="M30" s="152"/>
      <c r="N30" s="166">
        <f t="shared" si="2"/>
        <v>113.15736871561943</v>
      </c>
      <c r="O30" s="166"/>
      <c r="Q30" s="18">
        <v>3487.2521246458919</v>
      </c>
      <c r="R30" s="18">
        <v>4269.3926638604926</v>
      </c>
      <c r="S30" s="18">
        <v>6742.1383647798739</v>
      </c>
      <c r="T30" s="19">
        <f t="shared" si="3"/>
        <v>21870.846076424452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5">
        <v>7372.1</v>
      </c>
      <c r="AJ30" s="5">
        <v>6382.0132013201319</v>
      </c>
      <c r="AK30" s="5">
        <v>7141.8773270625124</v>
      </c>
      <c r="AL30" s="5">
        <v>8524.0030971738288</v>
      </c>
      <c r="AM30" s="5">
        <f t="shared" si="0"/>
        <v>-14675.793625556473</v>
      </c>
      <c r="AN30" s="58">
        <f t="shared" si="4"/>
        <v>22047.856548694665</v>
      </c>
    </row>
    <row r="31" spans="1:40" s="5" customFormat="1" ht="11.25" customHeight="1" x14ac:dyDescent="0.2">
      <c r="A31" s="165" t="s">
        <v>557</v>
      </c>
      <c r="B31" s="153"/>
      <c r="C31" s="153"/>
      <c r="D31" s="153"/>
      <c r="E31" s="153"/>
      <c r="F31" s="150">
        <v>0</v>
      </c>
      <c r="G31" s="150"/>
      <c r="H31" s="150">
        <v>0</v>
      </c>
      <c r="I31" s="150"/>
      <c r="J31" s="150">
        <v>0</v>
      </c>
      <c r="K31" s="150"/>
      <c r="L31" s="150">
        <f>J31-H31</f>
        <v>0</v>
      </c>
      <c r="M31" s="150"/>
      <c r="N31" s="149" t="s">
        <v>426</v>
      </c>
      <c r="O31" s="149"/>
      <c r="Q31" s="18"/>
      <c r="R31" s="18"/>
      <c r="S31" s="18"/>
      <c r="T31" s="19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5">
        <v>0</v>
      </c>
      <c r="AJ31" s="5">
        <v>0</v>
      </c>
      <c r="AK31" s="5">
        <v>0</v>
      </c>
      <c r="AL31" s="5">
        <v>0</v>
      </c>
      <c r="AN31" s="58">
        <f t="shared" si="4"/>
        <v>0</v>
      </c>
    </row>
    <row r="32" spans="1:40" s="5" customFormat="1" ht="11.25" customHeight="1" x14ac:dyDescent="0.2">
      <c r="A32" s="165" t="s">
        <v>558</v>
      </c>
      <c r="B32" s="153"/>
      <c r="C32" s="153"/>
      <c r="D32" s="153"/>
      <c r="E32" s="153"/>
      <c r="F32" s="150">
        <v>0</v>
      </c>
      <c r="G32" s="150"/>
      <c r="H32" s="150">
        <f>H26/H14/12*1000</f>
        <v>73333.333333333328</v>
      </c>
      <c r="I32" s="150"/>
      <c r="J32" s="150">
        <f>J26/J14/12*1000</f>
        <v>56777.380952380954</v>
      </c>
      <c r="K32" s="150"/>
      <c r="L32" s="150">
        <f>J32-H32</f>
        <v>-16555.952380952374</v>
      </c>
      <c r="M32" s="150"/>
      <c r="N32" s="149">
        <f>J32/H32*100</f>
        <v>77.423701298701303</v>
      </c>
      <c r="O32" s="149"/>
      <c r="Q32" s="18"/>
      <c r="R32" s="18"/>
      <c r="S32" s="18"/>
      <c r="T32" s="19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5">
        <v>73333.3</v>
      </c>
      <c r="AJ32" s="5">
        <v>54166.666666666664</v>
      </c>
      <c r="AK32" s="5">
        <v>73750</v>
      </c>
      <c r="AL32" s="5">
        <v>73958.333333333328</v>
      </c>
      <c r="AN32" s="58">
        <f>H32-AM32</f>
        <v>73333.333333333328</v>
      </c>
    </row>
    <row r="33" spans="1:40" s="5" customFormat="1" ht="12" customHeight="1" x14ac:dyDescent="0.2">
      <c r="A33" s="165" t="s">
        <v>552</v>
      </c>
      <c r="B33" s="153"/>
      <c r="C33" s="153"/>
      <c r="D33" s="153"/>
      <c r="E33" s="153"/>
      <c r="F33" s="150">
        <f>F27/F15/12*1000</f>
        <v>54716.666666666672</v>
      </c>
      <c r="G33" s="150"/>
      <c r="H33" s="150">
        <f>H27/H15/12*1000</f>
        <v>169583.33333333334</v>
      </c>
      <c r="I33" s="150"/>
      <c r="J33" s="150">
        <f>J27/J15/12*1000</f>
        <v>79091.666666666672</v>
      </c>
      <c r="K33" s="150"/>
      <c r="L33" s="150">
        <f t="shared" si="1"/>
        <v>-90491.666666666672</v>
      </c>
      <c r="M33" s="150"/>
      <c r="N33" s="149">
        <f t="shared" si="2"/>
        <v>46.63882063882064</v>
      </c>
      <c r="O33" s="149"/>
      <c r="Q33" s="18">
        <v>31333.333333333332</v>
      </c>
      <c r="R33" s="18">
        <v>36333.333333333336</v>
      </c>
      <c r="S33" s="18">
        <v>36333.333333333336</v>
      </c>
      <c r="T33" s="19">
        <f t="shared" si="3"/>
        <v>273583.33333333337</v>
      </c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5">
        <v>169583.3</v>
      </c>
      <c r="AJ33" s="5">
        <v>91666.666666666672</v>
      </c>
      <c r="AK33" s="5">
        <v>183333.33333333334</v>
      </c>
      <c r="AL33" s="5">
        <v>253333.33333333334</v>
      </c>
      <c r="AN33" s="58">
        <f t="shared" si="4"/>
        <v>169583.33333333334</v>
      </c>
    </row>
    <row r="34" spans="1:40" s="5" customFormat="1" ht="12" customHeight="1" x14ac:dyDescent="0.2">
      <c r="A34" s="151" t="s">
        <v>551</v>
      </c>
      <c r="B34" s="151"/>
      <c r="C34" s="151"/>
      <c r="D34" s="151"/>
      <c r="E34" s="151"/>
      <c r="F34" s="150">
        <v>27190</v>
      </c>
      <c r="G34" s="150"/>
      <c r="H34" s="150">
        <v>100000</v>
      </c>
      <c r="I34" s="150"/>
      <c r="J34" s="150">
        <v>48158.5</v>
      </c>
      <c r="K34" s="150"/>
      <c r="L34" s="150">
        <f>J34-H34</f>
        <v>-51841.5</v>
      </c>
      <c r="M34" s="150"/>
      <c r="N34" s="149">
        <f>J34/H34*100</f>
        <v>48.158499999999997</v>
      </c>
      <c r="O34" s="149"/>
      <c r="Q34" s="18"/>
      <c r="R34" s="18"/>
      <c r="S34" s="18"/>
      <c r="T34" s="19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5">
        <v>100000</v>
      </c>
      <c r="AJ34" s="5">
        <v>83330</v>
      </c>
      <c r="AK34" s="5">
        <v>100000</v>
      </c>
      <c r="AL34" s="5">
        <v>100000</v>
      </c>
      <c r="AM34" s="5">
        <f t="shared" si="0"/>
        <v>-183330</v>
      </c>
      <c r="AN34" s="58">
        <f t="shared" si="4"/>
        <v>283330</v>
      </c>
    </row>
    <row r="35" spans="1:40" s="5" customFormat="1" ht="12" customHeight="1" x14ac:dyDescent="0.2">
      <c r="A35" s="151" t="s">
        <v>553</v>
      </c>
      <c r="B35" s="151"/>
      <c r="C35" s="151"/>
      <c r="D35" s="151"/>
      <c r="E35" s="151"/>
      <c r="F35" s="150" t="s">
        <v>426</v>
      </c>
      <c r="G35" s="150"/>
      <c r="H35" s="150">
        <v>50482</v>
      </c>
      <c r="I35" s="150"/>
      <c r="J35" s="150" t="s">
        <v>426</v>
      </c>
      <c r="K35" s="150"/>
      <c r="L35" s="150" t="s">
        <v>426</v>
      </c>
      <c r="M35" s="150"/>
      <c r="N35" s="149" t="s">
        <v>426</v>
      </c>
      <c r="O35" s="149"/>
      <c r="Q35" s="18"/>
      <c r="R35" s="18"/>
      <c r="S35" s="18"/>
      <c r="T35" s="19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5">
        <v>50482</v>
      </c>
      <c r="AJ35" s="5">
        <v>0</v>
      </c>
      <c r="AK35" s="5">
        <v>55000</v>
      </c>
      <c r="AL35" s="5">
        <v>50500</v>
      </c>
      <c r="AM35" s="5">
        <f t="shared" si="0"/>
        <v>-55018</v>
      </c>
      <c r="AN35" s="58">
        <f t="shared" si="4"/>
        <v>105500</v>
      </c>
    </row>
    <row r="36" spans="1:40" s="5" customFormat="1" ht="12" customHeight="1" x14ac:dyDescent="0.2">
      <c r="A36" s="151" t="s">
        <v>554</v>
      </c>
      <c r="B36" s="151"/>
      <c r="C36" s="151"/>
      <c r="D36" s="151"/>
      <c r="E36" s="151"/>
      <c r="F36" s="150">
        <f>F33-F34</f>
        <v>27526.666666666672</v>
      </c>
      <c r="G36" s="150"/>
      <c r="H36" s="150">
        <v>19101.3</v>
      </c>
      <c r="I36" s="150"/>
      <c r="J36" s="150">
        <f>J33-J34</f>
        <v>30933.166666666672</v>
      </c>
      <c r="K36" s="150"/>
      <c r="L36" s="150">
        <f>J36-H36</f>
        <v>11831.866666666672</v>
      </c>
      <c r="M36" s="150"/>
      <c r="N36" s="149">
        <f>J36/H36*100</f>
        <v>161.94272990145527</v>
      </c>
      <c r="O36" s="149"/>
      <c r="Q36" s="18"/>
      <c r="R36" s="18"/>
      <c r="S36" s="18"/>
      <c r="T36" s="19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5">
        <v>19101.3</v>
      </c>
      <c r="AJ36" s="5">
        <v>8336.7000000000007</v>
      </c>
      <c r="AK36" s="5">
        <v>28333.3</v>
      </c>
      <c r="AL36" s="5">
        <v>102833.3</v>
      </c>
      <c r="AM36" s="5">
        <f t="shared" si="0"/>
        <v>-120402</v>
      </c>
      <c r="AN36" s="58">
        <f t="shared" si="4"/>
        <v>139503.29999999999</v>
      </c>
    </row>
    <row r="37" spans="1:40" s="5" customFormat="1" ht="12" customHeight="1" x14ac:dyDescent="0.2">
      <c r="A37" s="165" t="s">
        <v>555</v>
      </c>
      <c r="B37" s="153"/>
      <c r="C37" s="153"/>
      <c r="D37" s="153"/>
      <c r="E37" s="153"/>
      <c r="F37" s="150">
        <f>F28/F16/12*1000</f>
        <v>11236.111111111113</v>
      </c>
      <c r="G37" s="150"/>
      <c r="H37" s="150">
        <f>H28/H16/12*1000</f>
        <v>12415.589080459769</v>
      </c>
      <c r="I37" s="150"/>
      <c r="J37" s="150">
        <f>J28/J16/12*1000</f>
        <v>12519.846491228071</v>
      </c>
      <c r="K37" s="150"/>
      <c r="L37" s="150">
        <f t="shared" si="1"/>
        <v>104.25741076830127</v>
      </c>
      <c r="M37" s="150"/>
      <c r="N37" s="149">
        <f t="shared" si="2"/>
        <v>100.83972987582513</v>
      </c>
      <c r="O37" s="149"/>
      <c r="Q37" s="18">
        <v>6668.3417085427136</v>
      </c>
      <c r="R37" s="18">
        <v>7983.2495812395309</v>
      </c>
      <c r="S37" s="18">
        <v>14072.026800670017</v>
      </c>
      <c r="T37" s="19">
        <f t="shared" si="3"/>
        <v>41139.207170912036</v>
      </c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5">
        <v>12415.6</v>
      </c>
      <c r="AJ37" s="5">
        <v>11494.252873563219</v>
      </c>
      <c r="AK37" s="5">
        <v>11602.011494252873</v>
      </c>
      <c r="AL37" s="5">
        <v>11637.931034482759</v>
      </c>
      <c r="AM37" s="5">
        <f t="shared" si="0"/>
        <v>-22318.595402298852</v>
      </c>
      <c r="AN37" s="58">
        <f t="shared" si="4"/>
        <v>34734.184482758617</v>
      </c>
    </row>
    <row r="38" spans="1:40" s="5" customFormat="1" ht="12" customHeight="1" x14ac:dyDescent="0.2">
      <c r="A38" s="165" t="s">
        <v>556</v>
      </c>
      <c r="B38" s="153"/>
      <c r="C38" s="153"/>
      <c r="D38" s="153"/>
      <c r="E38" s="153"/>
      <c r="F38" s="150">
        <f>F29/F17/12*1000</f>
        <v>6559.3123704215614</v>
      </c>
      <c r="G38" s="150"/>
      <c r="H38" s="150">
        <f>H29/H17/12*1000</f>
        <v>6074.0869969760415</v>
      </c>
      <c r="I38" s="150"/>
      <c r="J38" s="150">
        <f>J29/J17/12*1000</f>
        <v>7402.4885057471265</v>
      </c>
      <c r="K38" s="150"/>
      <c r="L38" s="150">
        <f t="shared" si="1"/>
        <v>1328.401508771085</v>
      </c>
      <c r="M38" s="150"/>
      <c r="N38" s="149">
        <f t="shared" si="2"/>
        <v>121.86997831003119</v>
      </c>
      <c r="O38" s="149"/>
      <c r="Q38" s="18">
        <v>3064.9627263045791</v>
      </c>
      <c r="R38" s="18">
        <v>3742.3103212576902</v>
      </c>
      <c r="S38" s="18">
        <v>5671.4628297362115</v>
      </c>
      <c r="T38" s="19">
        <f t="shared" si="3"/>
        <v>18552.822874274523</v>
      </c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5">
        <v>6074.1</v>
      </c>
      <c r="AJ38" s="5">
        <v>5179.3939393939399</v>
      </c>
      <c r="AK38" s="5">
        <v>5947.488584474886</v>
      </c>
      <c r="AL38" s="5">
        <v>7517.4431690299352</v>
      </c>
      <c r="AM38" s="5">
        <f t="shared" si="0"/>
        <v>-12570.225692898761</v>
      </c>
      <c r="AN38" s="58">
        <f t="shared" si="4"/>
        <v>18644.312689874801</v>
      </c>
    </row>
    <row r="39" spans="1:40" s="5" customFormat="1" ht="3" customHeight="1" x14ac:dyDescent="0.2"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K39" s="18"/>
      <c r="AL39" s="18"/>
      <c r="AM39" s="18"/>
      <c r="AN39" s="18"/>
    </row>
    <row r="40" spans="1:40" s="5" customFormat="1" ht="10.5" customHeight="1" x14ac:dyDescent="0.2">
      <c r="A40" s="171" t="s">
        <v>344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K40" s="18"/>
      <c r="AL40" s="18"/>
      <c r="AM40" s="18"/>
      <c r="AN40" s="18"/>
    </row>
    <row r="41" spans="1:40" s="5" customFormat="1" ht="21.75" customHeight="1" x14ac:dyDescent="0.2">
      <c r="A41" s="169" t="s">
        <v>598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0" s="5" customFormat="1" ht="6.75" customHeight="1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</row>
    <row r="43" spans="1:40" s="5" customFormat="1" ht="10.5" customHeight="1" x14ac:dyDescent="0.2">
      <c r="A43" s="157" t="s">
        <v>345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  <row r="44" spans="1:40" s="5" customFormat="1" ht="12.95" customHeight="1" x14ac:dyDescent="0.2">
      <c r="A44" s="79" t="s">
        <v>346</v>
      </c>
      <c r="B44" s="145" t="s">
        <v>347</v>
      </c>
      <c r="C44" s="145"/>
      <c r="D44" s="145"/>
      <c r="E44" s="145"/>
      <c r="F44" s="145" t="s">
        <v>348</v>
      </c>
      <c r="G44" s="145"/>
      <c r="H44" s="145"/>
      <c r="I44" s="145"/>
      <c r="J44" s="145"/>
      <c r="K44" s="145"/>
      <c r="L44" s="145"/>
      <c r="M44" s="145"/>
      <c r="N44" s="145"/>
      <c r="O44" s="145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</row>
    <row r="45" spans="1:40" s="5" customFormat="1" ht="8.25" customHeight="1" x14ac:dyDescent="0.2">
      <c r="A45" s="84">
        <v>1</v>
      </c>
      <c r="B45" s="162">
        <v>2</v>
      </c>
      <c r="C45" s="162"/>
      <c r="D45" s="162"/>
      <c r="E45" s="162"/>
      <c r="F45" s="162">
        <v>3</v>
      </c>
      <c r="G45" s="162"/>
      <c r="H45" s="162"/>
      <c r="I45" s="162"/>
      <c r="J45" s="162"/>
      <c r="K45" s="162"/>
      <c r="L45" s="162"/>
      <c r="M45" s="162"/>
      <c r="N45" s="162"/>
      <c r="O45" s="162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</row>
    <row r="46" spans="1:40" s="5" customFormat="1" ht="24" customHeight="1" x14ac:dyDescent="0.2">
      <c r="A46" s="54" t="s">
        <v>574</v>
      </c>
      <c r="B46" s="167" t="s">
        <v>580</v>
      </c>
      <c r="C46" s="168"/>
      <c r="D46" s="168"/>
      <c r="E46" s="168"/>
      <c r="F46" s="168" t="s">
        <v>575</v>
      </c>
      <c r="G46" s="168"/>
      <c r="H46" s="168"/>
      <c r="I46" s="168"/>
      <c r="J46" s="168"/>
      <c r="K46" s="168"/>
      <c r="L46" s="168"/>
      <c r="M46" s="168"/>
      <c r="N46" s="168"/>
      <c r="O46" s="16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</row>
    <row r="47" spans="1:40" s="5" customFormat="1" ht="9" customHeight="1" x14ac:dyDescent="0.2">
      <c r="A47" s="79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</row>
    <row r="48" spans="1:40" s="5" customFormat="1" ht="0.75" customHeight="1" x14ac:dyDescent="0.2"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</row>
    <row r="49" spans="1:40" s="5" customFormat="1" ht="11.25" customHeight="1" x14ac:dyDescent="0.2">
      <c r="A49" s="157" t="s">
        <v>349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</row>
    <row r="50" spans="1:40" s="5" customFormat="1" ht="5.25" customHeight="1" x14ac:dyDescent="0.2"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</row>
    <row r="51" spans="1:40" s="5" customFormat="1" ht="12.95" customHeight="1" x14ac:dyDescent="0.2">
      <c r="A51" s="145" t="s">
        <v>350</v>
      </c>
      <c r="B51" s="145"/>
      <c r="C51" s="145"/>
      <c r="D51" s="145" t="s">
        <v>351</v>
      </c>
      <c r="E51" s="145"/>
      <c r="F51" s="145"/>
      <c r="G51" s="145" t="s">
        <v>352</v>
      </c>
      <c r="H51" s="145"/>
      <c r="I51" s="145"/>
      <c r="J51" s="145" t="s">
        <v>353</v>
      </c>
      <c r="K51" s="145"/>
      <c r="L51" s="145"/>
      <c r="M51" s="131" t="s">
        <v>354</v>
      </c>
      <c r="N51" s="131"/>
      <c r="O51" s="145" t="s">
        <v>355</v>
      </c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</row>
    <row r="52" spans="1:40" s="5" customFormat="1" ht="114" customHeight="1" x14ac:dyDescent="0.2">
      <c r="A52" s="145"/>
      <c r="B52" s="145"/>
      <c r="C52" s="145"/>
      <c r="D52" s="79" t="s">
        <v>356</v>
      </c>
      <c r="E52" s="79" t="s">
        <v>357</v>
      </c>
      <c r="F52" s="79" t="s">
        <v>358</v>
      </c>
      <c r="G52" s="79" t="s">
        <v>356</v>
      </c>
      <c r="H52" s="79" t="s">
        <v>357</v>
      </c>
      <c r="I52" s="79" t="s">
        <v>358</v>
      </c>
      <c r="J52" s="79" t="s">
        <v>356</v>
      </c>
      <c r="K52" s="79" t="s">
        <v>357</v>
      </c>
      <c r="L52" s="79" t="s">
        <v>358</v>
      </c>
      <c r="M52" s="79" t="s">
        <v>359</v>
      </c>
      <c r="N52" s="79" t="s">
        <v>360</v>
      </c>
      <c r="O52" s="145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</row>
    <row r="53" spans="1:40" s="5" customFormat="1" ht="12" customHeight="1" x14ac:dyDescent="0.2">
      <c r="A53" s="162">
        <v>1</v>
      </c>
      <c r="B53" s="162"/>
      <c r="C53" s="162"/>
      <c r="D53" s="84">
        <v>2</v>
      </c>
      <c r="E53" s="84">
        <v>3</v>
      </c>
      <c r="F53" s="84">
        <v>4</v>
      </c>
      <c r="G53" s="84">
        <v>5</v>
      </c>
      <c r="H53" s="84">
        <v>6</v>
      </c>
      <c r="I53" s="84">
        <v>7</v>
      </c>
      <c r="J53" s="84">
        <v>8</v>
      </c>
      <c r="K53" s="84">
        <v>9</v>
      </c>
      <c r="L53" s="84">
        <v>10</v>
      </c>
      <c r="M53" s="84">
        <v>11</v>
      </c>
      <c r="N53" s="84">
        <v>12</v>
      </c>
      <c r="O53" s="84">
        <v>13</v>
      </c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</row>
    <row r="54" spans="1:40" s="5" customFormat="1" ht="9.75" customHeight="1" x14ac:dyDescent="0.2">
      <c r="A54" s="167" t="s">
        <v>361</v>
      </c>
      <c r="B54" s="168"/>
      <c r="C54" s="168"/>
      <c r="D54" s="55">
        <v>11925</v>
      </c>
      <c r="E54" s="110">
        <v>265</v>
      </c>
      <c r="F54" s="56" t="s">
        <v>426</v>
      </c>
      <c r="G54" s="55">
        <v>13465.7</v>
      </c>
      <c r="H54" s="55">
        <v>286.8</v>
      </c>
      <c r="I54" s="56" t="s">
        <v>426</v>
      </c>
      <c r="J54" s="55">
        <f t="shared" ref="J54:K56" si="6">G54-D54</f>
        <v>1540.7000000000007</v>
      </c>
      <c r="K54" s="55">
        <f t="shared" si="6"/>
        <v>21.800000000000011</v>
      </c>
      <c r="L54" s="56" t="s">
        <v>426</v>
      </c>
      <c r="M54" s="55">
        <f t="shared" ref="M54:N56" si="7">G54/D54*100</f>
        <v>112.91991614255765</v>
      </c>
      <c r="N54" s="55">
        <f t="shared" si="7"/>
        <v>108.22641509433963</v>
      </c>
      <c r="O54" s="56" t="s">
        <v>426</v>
      </c>
      <c r="Q54" s="18"/>
      <c r="R54" s="18"/>
      <c r="S54" s="18"/>
      <c r="T54" s="19">
        <f t="shared" ref="T54:U59" si="8">W54-Y54-AA54-AC54</f>
        <v>6860</v>
      </c>
      <c r="U54" s="19">
        <f t="shared" si="8"/>
        <v>95</v>
      </c>
      <c r="V54" s="18"/>
      <c r="W54" s="20">
        <v>27205</v>
      </c>
      <c r="X54" s="21">
        <v>390</v>
      </c>
      <c r="Y54" s="20">
        <v>6855</v>
      </c>
      <c r="Z54" s="21">
        <v>100</v>
      </c>
      <c r="AA54" s="20">
        <v>6785</v>
      </c>
      <c r="AB54" s="21">
        <v>95</v>
      </c>
      <c r="AC54" s="20">
        <v>6705</v>
      </c>
      <c r="AD54" s="21">
        <v>100</v>
      </c>
      <c r="AE54" s="19"/>
      <c r="AF54" s="18"/>
      <c r="AG54" s="18"/>
      <c r="AH54" s="18"/>
      <c r="AI54" s="18"/>
      <c r="AJ54" s="18"/>
      <c r="AK54" s="18"/>
      <c r="AL54" s="18"/>
      <c r="AM54" s="18"/>
      <c r="AN54" s="18"/>
    </row>
    <row r="55" spans="1:40" s="5" customFormat="1" ht="11.25" customHeight="1" x14ac:dyDescent="0.2">
      <c r="A55" s="167" t="s">
        <v>362</v>
      </c>
      <c r="B55" s="168"/>
      <c r="C55" s="168"/>
      <c r="D55" s="55">
        <v>651835</v>
      </c>
      <c r="E55" s="55">
        <v>1190</v>
      </c>
      <c r="F55" s="56" t="s">
        <v>426</v>
      </c>
      <c r="G55" s="55">
        <v>590011.5</v>
      </c>
      <c r="H55" s="55">
        <v>1299.0999999999999</v>
      </c>
      <c r="I55" s="56" t="s">
        <v>426</v>
      </c>
      <c r="J55" s="55">
        <f t="shared" si="6"/>
        <v>-61823.5</v>
      </c>
      <c r="K55" s="55">
        <f t="shared" si="6"/>
        <v>109.09999999999991</v>
      </c>
      <c r="L55" s="56" t="s">
        <v>426</v>
      </c>
      <c r="M55" s="55">
        <f t="shared" si="7"/>
        <v>90.515467871470548</v>
      </c>
      <c r="N55" s="55">
        <f t="shared" si="7"/>
        <v>109.16806722689074</v>
      </c>
      <c r="O55" s="56" t="s">
        <v>426</v>
      </c>
      <c r="Q55" s="18"/>
      <c r="R55" s="18"/>
      <c r="S55" s="18"/>
      <c r="T55" s="19">
        <f t="shared" si="8"/>
        <v>140920</v>
      </c>
      <c r="U55" s="19">
        <f t="shared" si="8"/>
        <v>350</v>
      </c>
      <c r="V55" s="18"/>
      <c r="W55" s="20">
        <v>480310</v>
      </c>
      <c r="X55" s="20">
        <v>1150</v>
      </c>
      <c r="Y55" s="20">
        <v>140785</v>
      </c>
      <c r="Z55" s="20">
        <v>350</v>
      </c>
      <c r="AA55" s="20">
        <v>124380</v>
      </c>
      <c r="AB55" s="20">
        <v>300</v>
      </c>
      <c r="AC55" s="20">
        <v>74225</v>
      </c>
      <c r="AD55" s="20">
        <v>150</v>
      </c>
      <c r="AE55" s="18"/>
      <c r="AF55" s="18"/>
      <c r="AG55" s="18"/>
      <c r="AH55" s="18"/>
      <c r="AI55" s="18"/>
      <c r="AJ55" s="18"/>
      <c r="AK55" s="18"/>
      <c r="AL55" s="18"/>
      <c r="AM55" s="18"/>
      <c r="AN55" s="18"/>
    </row>
    <row r="56" spans="1:40" s="5" customFormat="1" ht="11.25" customHeight="1" x14ac:dyDescent="0.2">
      <c r="A56" s="167" t="s">
        <v>363</v>
      </c>
      <c r="B56" s="168"/>
      <c r="C56" s="168"/>
      <c r="D56" s="55">
        <v>212645</v>
      </c>
      <c r="E56" s="110">
        <v>19</v>
      </c>
      <c r="F56" s="56" t="s">
        <v>426</v>
      </c>
      <c r="G56" s="55">
        <v>176629.5</v>
      </c>
      <c r="H56" s="55">
        <v>19.399999999999999</v>
      </c>
      <c r="I56" s="56" t="s">
        <v>426</v>
      </c>
      <c r="J56" s="55">
        <f t="shared" si="6"/>
        <v>-36015.5</v>
      </c>
      <c r="K56" s="55">
        <f t="shared" si="6"/>
        <v>0.39999999999999858</v>
      </c>
      <c r="L56" s="56" t="s">
        <v>426</v>
      </c>
      <c r="M56" s="55">
        <f t="shared" si="7"/>
        <v>83.063086364598277</v>
      </c>
      <c r="N56" s="55">
        <f t="shared" si="7"/>
        <v>102.10526315789473</v>
      </c>
      <c r="O56" s="56" t="s">
        <v>426</v>
      </c>
      <c r="Q56" s="18"/>
      <c r="R56" s="18"/>
      <c r="S56" s="18"/>
      <c r="T56" s="19">
        <f t="shared" si="8"/>
        <v>17275</v>
      </c>
      <c r="U56" s="19">
        <f t="shared" si="8"/>
        <v>0.5</v>
      </c>
      <c r="V56" s="18"/>
      <c r="W56" s="20">
        <v>107305</v>
      </c>
      <c r="X56" s="21">
        <v>10</v>
      </c>
      <c r="Y56" s="20">
        <v>48145</v>
      </c>
      <c r="Z56" s="21">
        <v>5.5</v>
      </c>
      <c r="AA56" s="20">
        <v>41885</v>
      </c>
      <c r="AB56" s="21">
        <v>4</v>
      </c>
      <c r="AC56" s="20">
        <v>0</v>
      </c>
      <c r="AD56" s="21">
        <v>0</v>
      </c>
      <c r="AE56" s="18"/>
      <c r="AF56" s="18"/>
      <c r="AG56" s="18"/>
      <c r="AH56" s="18"/>
      <c r="AI56" s="18"/>
      <c r="AJ56" s="18"/>
      <c r="AK56" s="18"/>
      <c r="AL56" s="18"/>
      <c r="AM56" s="18"/>
      <c r="AN56" s="18"/>
    </row>
    <row r="57" spans="1:40" s="5" customFormat="1" ht="11.25" customHeight="1" x14ac:dyDescent="0.2">
      <c r="A57" s="167" t="s">
        <v>364</v>
      </c>
      <c r="B57" s="168"/>
      <c r="C57" s="168"/>
      <c r="D57" s="55">
        <v>58000</v>
      </c>
      <c r="E57" s="56" t="s">
        <v>426</v>
      </c>
      <c r="F57" s="56" t="s">
        <v>426</v>
      </c>
      <c r="G57" s="55">
        <v>51160.2</v>
      </c>
      <c r="H57" s="57" t="s">
        <v>602</v>
      </c>
      <c r="I57" s="56" t="s">
        <v>426</v>
      </c>
      <c r="J57" s="55">
        <f>G57-D57</f>
        <v>-6839.8000000000029</v>
      </c>
      <c r="K57" s="55"/>
      <c r="L57" s="56" t="s">
        <v>426</v>
      </c>
      <c r="M57" s="55">
        <f>G57/D57*100</f>
        <v>88.207241379310346</v>
      </c>
      <c r="N57" s="55" t="s">
        <v>426</v>
      </c>
      <c r="O57" s="56" t="s">
        <v>426</v>
      </c>
      <c r="Q57" s="18"/>
      <c r="R57" s="18"/>
      <c r="S57" s="18"/>
      <c r="T57" s="19">
        <f t="shared" si="8"/>
        <v>6750</v>
      </c>
      <c r="U57" s="19" t="e">
        <f t="shared" si="8"/>
        <v>#VALUE!</v>
      </c>
      <c r="V57" s="18"/>
      <c r="W57" s="20">
        <v>26700</v>
      </c>
      <c r="X57" s="22" t="s">
        <v>426</v>
      </c>
      <c r="Y57" s="20">
        <v>7200</v>
      </c>
      <c r="Z57" s="22" t="s">
        <v>426</v>
      </c>
      <c r="AA57" s="20">
        <v>6600</v>
      </c>
      <c r="AB57" s="22" t="s">
        <v>426</v>
      </c>
      <c r="AC57" s="20">
        <v>6150</v>
      </c>
      <c r="AD57" s="22" t="s">
        <v>426</v>
      </c>
      <c r="AE57" s="18"/>
      <c r="AF57" s="18"/>
      <c r="AG57" s="18"/>
      <c r="AH57" s="18"/>
      <c r="AI57" s="18"/>
      <c r="AJ57" s="18"/>
      <c r="AK57" s="18"/>
      <c r="AL57" s="18"/>
      <c r="AM57" s="18"/>
      <c r="AN57" s="18"/>
    </row>
    <row r="58" spans="1:40" s="5" customFormat="1" ht="10.5" customHeight="1" x14ac:dyDescent="0.2">
      <c r="A58" s="167" t="s">
        <v>297</v>
      </c>
      <c r="B58" s="168"/>
      <c r="C58" s="168"/>
      <c r="D58" s="55">
        <v>44865</v>
      </c>
      <c r="E58" s="56" t="s">
        <v>426</v>
      </c>
      <c r="F58" s="56" t="s">
        <v>426</v>
      </c>
      <c r="G58" s="55">
        <v>42263.1</v>
      </c>
      <c r="H58" s="55" t="s">
        <v>426</v>
      </c>
      <c r="I58" s="56" t="s">
        <v>426</v>
      </c>
      <c r="J58" s="55">
        <f>G58-D58</f>
        <v>-2601.9000000000015</v>
      </c>
      <c r="K58" s="55"/>
      <c r="L58" s="56" t="s">
        <v>426</v>
      </c>
      <c r="M58" s="55">
        <f>G58/D58*100</f>
        <v>94.200601805416255</v>
      </c>
      <c r="N58" s="55" t="s">
        <v>426</v>
      </c>
      <c r="O58" s="56" t="s">
        <v>426</v>
      </c>
      <c r="Q58" s="18"/>
      <c r="R58" s="18"/>
      <c r="S58" s="18"/>
      <c r="T58" s="19">
        <f t="shared" si="8"/>
        <v>8830</v>
      </c>
      <c r="U58" s="19" t="e">
        <f t="shared" si="8"/>
        <v>#VALUE!</v>
      </c>
      <c r="V58" s="18"/>
      <c r="W58" s="20">
        <v>35050</v>
      </c>
      <c r="X58" s="22" t="s">
        <v>426</v>
      </c>
      <c r="Y58" s="20">
        <v>8735</v>
      </c>
      <c r="Z58" s="22" t="s">
        <v>426</v>
      </c>
      <c r="AA58" s="20">
        <v>8750</v>
      </c>
      <c r="AB58" s="22" t="s">
        <v>426</v>
      </c>
      <c r="AC58" s="20">
        <v>8735</v>
      </c>
      <c r="AD58" s="22" t="s">
        <v>426</v>
      </c>
      <c r="AE58" s="18"/>
      <c r="AF58" s="18"/>
      <c r="AG58" s="18"/>
      <c r="AH58" s="18"/>
      <c r="AI58" s="18"/>
      <c r="AJ58" s="18"/>
      <c r="AK58" s="18"/>
      <c r="AL58" s="18"/>
      <c r="AM58" s="18"/>
      <c r="AN58" s="18"/>
    </row>
    <row r="59" spans="1:40" s="5" customFormat="1" ht="12" customHeight="1" x14ac:dyDescent="0.2">
      <c r="A59" s="145" t="s">
        <v>94</v>
      </c>
      <c r="B59" s="145"/>
      <c r="C59" s="145"/>
      <c r="D59" s="55">
        <f>SUM(D54:D58)</f>
        <v>979270</v>
      </c>
      <c r="E59" s="56" t="s">
        <v>426</v>
      </c>
      <c r="F59" s="56" t="s">
        <v>426</v>
      </c>
      <c r="G59" s="55">
        <f>SUM(G54:G58)</f>
        <v>873529.99999999988</v>
      </c>
      <c r="H59" s="55" t="s">
        <v>426</v>
      </c>
      <c r="I59" s="56" t="s">
        <v>426</v>
      </c>
      <c r="J59" s="55">
        <f>SUM(J54:J58)</f>
        <v>-105740</v>
      </c>
      <c r="K59" s="55" t="s">
        <v>426</v>
      </c>
      <c r="L59" s="56" t="s">
        <v>426</v>
      </c>
      <c r="M59" s="55">
        <f>G59/D59*100</f>
        <v>89.202160793243934</v>
      </c>
      <c r="N59" s="55" t="s">
        <v>426</v>
      </c>
      <c r="O59" s="56" t="s">
        <v>426</v>
      </c>
      <c r="Q59" s="18"/>
      <c r="R59" s="18"/>
      <c r="S59" s="18"/>
      <c r="T59" s="19">
        <f t="shared" si="8"/>
        <v>180635</v>
      </c>
      <c r="U59" s="19" t="e">
        <f t="shared" si="8"/>
        <v>#VALUE!</v>
      </c>
      <c r="V59" s="18"/>
      <c r="W59" s="20">
        <f>SUM(W54:W58)</f>
        <v>676570</v>
      </c>
      <c r="X59" s="22" t="s">
        <v>426</v>
      </c>
      <c r="Y59" s="20">
        <f>SUM(Y54:Y58)</f>
        <v>211720</v>
      </c>
      <c r="Z59" s="22" t="s">
        <v>426</v>
      </c>
      <c r="AA59" s="20">
        <f>SUM(AA54:AA58)</f>
        <v>188400</v>
      </c>
      <c r="AB59" s="22" t="s">
        <v>426</v>
      </c>
      <c r="AC59" s="20">
        <f>SUM(AC54:AC58)</f>
        <v>95815</v>
      </c>
      <c r="AD59" s="22" t="s">
        <v>426</v>
      </c>
      <c r="AE59" s="18"/>
      <c r="AF59" s="18"/>
      <c r="AG59" s="18"/>
      <c r="AH59" s="18"/>
      <c r="AI59" s="18"/>
      <c r="AJ59" s="18"/>
      <c r="AK59" s="18"/>
      <c r="AL59" s="18"/>
      <c r="AM59" s="18"/>
      <c r="AN59" s="18"/>
    </row>
    <row r="60" spans="1:40" s="5" customFormat="1" ht="3.75" customHeight="1" x14ac:dyDescent="0.2"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</row>
    <row r="61" spans="1:40" s="5" customFormat="1" ht="12.95" customHeight="1" x14ac:dyDescent="0.2">
      <c r="A61" s="157" t="s">
        <v>365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</row>
    <row r="62" spans="1:40" s="5" customFormat="1" ht="8.1" customHeight="1" x14ac:dyDescent="0.2"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</row>
    <row r="63" spans="1:40" s="5" customFormat="1" ht="38.1" customHeight="1" x14ac:dyDescent="0.2">
      <c r="A63" s="79" t="s">
        <v>366</v>
      </c>
      <c r="B63" s="145" t="s">
        <v>367</v>
      </c>
      <c r="C63" s="145"/>
      <c r="D63" s="145" t="s">
        <v>368</v>
      </c>
      <c r="E63" s="145"/>
      <c r="F63" s="145" t="s">
        <v>369</v>
      </c>
      <c r="G63" s="145"/>
      <c r="H63" s="145" t="s">
        <v>370</v>
      </c>
      <c r="I63" s="145"/>
      <c r="J63" s="145"/>
      <c r="K63" s="147" t="s">
        <v>486</v>
      </c>
      <c r="L63" s="145"/>
      <c r="M63" s="145" t="s">
        <v>371</v>
      </c>
      <c r="N63" s="145"/>
      <c r="O63" s="145"/>
      <c r="Q63" s="18"/>
      <c r="R63" s="18"/>
      <c r="S63" s="18"/>
      <c r="T63" s="18">
        <f t="shared" ref="T63:U65" si="9">W63-Y63-AA63-AC63</f>
        <v>3689.9999999999991</v>
      </c>
      <c r="U63" s="18">
        <f t="shared" si="9"/>
        <v>73.600000000000009</v>
      </c>
      <c r="V63" s="18"/>
      <c r="W63" s="24">
        <v>16382</v>
      </c>
      <c r="X63" s="24">
        <v>304.60000000000002</v>
      </c>
      <c r="Y63" s="24">
        <v>4221.6000000000004</v>
      </c>
      <c r="Z63" s="24">
        <v>91.3</v>
      </c>
      <c r="AA63" s="24">
        <v>5074.1000000000004</v>
      </c>
      <c r="AB63" s="24">
        <v>68.500000000000014</v>
      </c>
      <c r="AC63" s="24">
        <v>3396.3</v>
      </c>
      <c r="AD63" s="24">
        <v>71.2</v>
      </c>
      <c r="AE63" s="18"/>
      <c r="AF63" s="18"/>
      <c r="AG63" s="18"/>
      <c r="AH63" s="18"/>
      <c r="AI63" s="18"/>
      <c r="AJ63" s="18"/>
      <c r="AK63" s="18"/>
      <c r="AL63" s="18"/>
      <c r="AM63" s="18"/>
      <c r="AN63" s="18"/>
    </row>
    <row r="64" spans="1:40" s="5" customFormat="1" ht="9.75" customHeight="1" x14ac:dyDescent="0.2">
      <c r="A64" s="84">
        <v>1</v>
      </c>
      <c r="B64" s="162">
        <v>2</v>
      </c>
      <c r="C64" s="162"/>
      <c r="D64" s="162">
        <v>3</v>
      </c>
      <c r="E64" s="162"/>
      <c r="F64" s="162">
        <v>4</v>
      </c>
      <c r="G64" s="162"/>
      <c r="H64" s="162">
        <v>5</v>
      </c>
      <c r="I64" s="162"/>
      <c r="J64" s="162"/>
      <c r="K64" s="162">
        <v>6</v>
      </c>
      <c r="L64" s="162"/>
      <c r="M64" s="162">
        <v>7</v>
      </c>
      <c r="N64" s="162"/>
      <c r="O64" s="162"/>
      <c r="Q64" s="18"/>
      <c r="R64" s="18"/>
      <c r="S64" s="18"/>
      <c r="T64" s="18">
        <f t="shared" si="9"/>
        <v>138198.99999999997</v>
      </c>
      <c r="U64" s="18">
        <f t="shared" si="9"/>
        <v>307.10000000000014</v>
      </c>
      <c r="V64" s="18"/>
      <c r="W64" s="24">
        <v>501325</v>
      </c>
      <c r="X64" s="24">
        <v>1091.9000000000001</v>
      </c>
      <c r="Y64" s="24">
        <v>94814.2</v>
      </c>
      <c r="Z64" s="24">
        <v>184.8</v>
      </c>
      <c r="AA64" s="24">
        <v>118220.7</v>
      </c>
      <c r="AB64" s="24">
        <v>281</v>
      </c>
      <c r="AC64" s="24">
        <v>150091.1</v>
      </c>
      <c r="AD64" s="24">
        <v>319</v>
      </c>
      <c r="AE64" s="18"/>
      <c r="AF64" s="18"/>
      <c r="AG64" s="18"/>
      <c r="AH64" s="18"/>
      <c r="AI64" s="18"/>
      <c r="AJ64" s="18"/>
      <c r="AK64" s="18"/>
      <c r="AL64" s="18"/>
      <c r="AM64" s="18"/>
      <c r="AN64" s="18"/>
    </row>
    <row r="65" spans="1:40" s="5" customFormat="1" ht="36" customHeight="1" x14ac:dyDescent="0.2">
      <c r="A65" s="112" t="s">
        <v>568</v>
      </c>
      <c r="B65" s="174" t="s">
        <v>567</v>
      </c>
      <c r="C65" s="175"/>
      <c r="D65" s="177" t="s">
        <v>570</v>
      </c>
      <c r="E65" s="177"/>
      <c r="F65" s="179" t="s">
        <v>571</v>
      </c>
      <c r="G65" s="180"/>
      <c r="H65" s="181" t="s">
        <v>572</v>
      </c>
      <c r="I65" s="182"/>
      <c r="J65" s="182"/>
      <c r="K65" s="177">
        <v>16760</v>
      </c>
      <c r="L65" s="177"/>
      <c r="M65" s="183" t="s">
        <v>569</v>
      </c>
      <c r="N65" s="177"/>
      <c r="O65" s="177"/>
      <c r="Q65" s="18"/>
      <c r="R65" s="18"/>
      <c r="S65" s="18"/>
      <c r="T65" s="18">
        <f t="shared" si="9"/>
        <v>29149</v>
      </c>
      <c r="U65" s="18">
        <f t="shared" si="9"/>
        <v>1.8569999999999993</v>
      </c>
      <c r="V65" s="18"/>
      <c r="W65" s="24">
        <v>168057</v>
      </c>
      <c r="X65" s="24">
        <v>15</v>
      </c>
      <c r="Y65" s="24">
        <v>0</v>
      </c>
      <c r="Z65" s="24">
        <v>0</v>
      </c>
      <c r="AA65" s="24">
        <v>52261.7</v>
      </c>
      <c r="AB65" s="24">
        <v>5.4</v>
      </c>
      <c r="AC65" s="24">
        <v>86646.3</v>
      </c>
      <c r="AD65" s="24">
        <v>7.7430000000000003</v>
      </c>
      <c r="AE65" s="18"/>
      <c r="AF65" s="18"/>
      <c r="AG65" s="18"/>
      <c r="AH65" s="18"/>
      <c r="AI65" s="18"/>
      <c r="AJ65" s="18"/>
      <c r="AK65" s="18"/>
      <c r="AL65" s="18"/>
      <c r="AM65" s="18"/>
      <c r="AN65" s="18"/>
    </row>
    <row r="66" spans="1:40" s="5" customFormat="1" ht="12.95" customHeight="1" x14ac:dyDescent="0.2">
      <c r="A66" s="79" t="s">
        <v>94</v>
      </c>
      <c r="B66" s="145" t="s">
        <v>373</v>
      </c>
      <c r="C66" s="145"/>
      <c r="D66" s="145" t="s">
        <v>373</v>
      </c>
      <c r="E66" s="145"/>
      <c r="F66" s="147" t="s">
        <v>373</v>
      </c>
      <c r="G66" s="145"/>
      <c r="H66" s="145" t="s">
        <v>373</v>
      </c>
      <c r="I66" s="145"/>
      <c r="J66" s="145"/>
      <c r="K66" s="173">
        <f>K65</f>
        <v>16760</v>
      </c>
      <c r="L66" s="145"/>
      <c r="M66" s="145" t="s">
        <v>373</v>
      </c>
      <c r="N66" s="145"/>
      <c r="O66" s="145"/>
      <c r="Q66" s="18"/>
      <c r="R66" s="18"/>
      <c r="S66" s="18"/>
      <c r="T66" s="18">
        <f>W66-Y66-AA66-AC66</f>
        <v>11002.3</v>
      </c>
      <c r="U66" s="18"/>
      <c r="V66" s="18"/>
      <c r="W66" s="24">
        <v>48784.7</v>
      </c>
      <c r="X66" s="24"/>
      <c r="Y66" s="24">
        <v>14182.6</v>
      </c>
      <c r="Z66" s="24" t="s">
        <v>426</v>
      </c>
      <c r="AA66" s="24">
        <v>12563.3</v>
      </c>
      <c r="AB66" s="24" t="s">
        <v>426</v>
      </c>
      <c r="AC66" s="24">
        <v>11036.5</v>
      </c>
      <c r="AD66" s="24" t="s">
        <v>426</v>
      </c>
      <c r="AE66" s="18"/>
      <c r="AF66" s="18"/>
      <c r="AG66" s="18"/>
      <c r="AH66" s="18"/>
      <c r="AI66" s="18"/>
      <c r="AJ66" s="18"/>
      <c r="AK66" s="18"/>
      <c r="AL66" s="18"/>
      <c r="AM66" s="18"/>
      <c r="AN66" s="18"/>
    </row>
    <row r="67" spans="1:40" s="5" customFormat="1" ht="3" customHeight="1" x14ac:dyDescent="0.2">
      <c r="Q67" s="18"/>
      <c r="R67" s="18"/>
      <c r="S67" s="18"/>
      <c r="T67" s="18">
        <f>W67-Y67-AA67-AC67</f>
        <v>191589</v>
      </c>
      <c r="U67" s="18"/>
      <c r="V67" s="18"/>
      <c r="W67" s="24">
        <v>781040</v>
      </c>
      <c r="X67" s="24"/>
      <c r="Y67" s="24">
        <v>117728.00000000001</v>
      </c>
      <c r="Z67" s="24" t="s">
        <v>426</v>
      </c>
      <c r="AA67" s="24">
        <v>200431</v>
      </c>
      <c r="AB67" s="24" t="s">
        <v>426</v>
      </c>
      <c r="AC67" s="24">
        <v>271292</v>
      </c>
      <c r="AD67" s="24" t="s">
        <v>426</v>
      </c>
      <c r="AE67" s="18"/>
      <c r="AF67" s="18"/>
      <c r="AG67" s="18"/>
      <c r="AH67" s="18"/>
      <c r="AI67" s="18"/>
      <c r="AJ67" s="18"/>
      <c r="AK67" s="18"/>
      <c r="AL67" s="18"/>
      <c r="AM67" s="18"/>
      <c r="AN67" s="18"/>
    </row>
    <row r="68" spans="1:40" s="5" customFormat="1" ht="12.95" customHeight="1" x14ac:dyDescent="0.2">
      <c r="A68" s="157" t="s">
        <v>374</v>
      </c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</row>
    <row r="69" spans="1:40" s="5" customFormat="1" ht="5.25" customHeight="1" x14ac:dyDescent="0.2"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</row>
    <row r="70" spans="1:40" s="5" customFormat="1" ht="21.75" customHeight="1" x14ac:dyDescent="0.2">
      <c r="A70" s="176" t="s">
        <v>375</v>
      </c>
      <c r="B70" s="176"/>
      <c r="C70" s="176"/>
      <c r="D70" s="176" t="s">
        <v>376</v>
      </c>
      <c r="E70" s="176"/>
      <c r="F70" s="145" t="s">
        <v>377</v>
      </c>
      <c r="G70" s="145"/>
      <c r="H70" s="145"/>
      <c r="I70" s="145"/>
      <c r="J70" s="176" t="s">
        <v>378</v>
      </c>
      <c r="K70" s="176"/>
      <c r="L70" s="176"/>
      <c r="M70" s="176"/>
      <c r="N70" s="127" t="s">
        <v>379</v>
      </c>
      <c r="O70" s="127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</row>
    <row r="71" spans="1:40" s="5" customFormat="1" ht="25.5" customHeight="1" x14ac:dyDescent="0.2">
      <c r="A71" s="176"/>
      <c r="B71" s="176"/>
      <c r="C71" s="176"/>
      <c r="D71" s="176"/>
      <c r="E71" s="176"/>
      <c r="F71" s="176" t="s">
        <v>45</v>
      </c>
      <c r="G71" s="176"/>
      <c r="H71" s="176" t="s">
        <v>46</v>
      </c>
      <c r="I71" s="176"/>
      <c r="J71" s="176" t="s">
        <v>45</v>
      </c>
      <c r="K71" s="176"/>
      <c r="L71" s="176" t="s">
        <v>46</v>
      </c>
      <c r="M71" s="176"/>
      <c r="N71" s="127"/>
      <c r="O71" s="127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</row>
    <row r="72" spans="1:40" s="5" customFormat="1" ht="10.5" customHeight="1" x14ac:dyDescent="0.2">
      <c r="A72" s="162">
        <v>1</v>
      </c>
      <c r="B72" s="162"/>
      <c r="C72" s="162"/>
      <c r="D72" s="162">
        <v>2</v>
      </c>
      <c r="E72" s="162"/>
      <c r="F72" s="162">
        <v>3</v>
      </c>
      <c r="G72" s="162"/>
      <c r="H72" s="162">
        <v>4</v>
      </c>
      <c r="I72" s="162"/>
      <c r="J72" s="162">
        <v>5</v>
      </c>
      <c r="K72" s="162"/>
      <c r="L72" s="162">
        <v>6</v>
      </c>
      <c r="M72" s="162"/>
      <c r="N72" s="162">
        <v>7</v>
      </c>
      <c r="O72" s="162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</row>
    <row r="73" spans="1:40" s="5" customFormat="1" ht="12.95" customHeight="1" x14ac:dyDescent="0.2">
      <c r="A73" s="168" t="s">
        <v>380</v>
      </c>
      <c r="B73" s="168"/>
      <c r="C73" s="168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</row>
    <row r="74" spans="1:40" s="5" customFormat="1" ht="12" hidden="1" customHeight="1" x14ac:dyDescent="0.2">
      <c r="A74" s="168" t="s">
        <v>381</v>
      </c>
      <c r="B74" s="168"/>
      <c r="C74" s="168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</row>
    <row r="75" spans="1:40" s="5" customFormat="1" ht="12.95" customHeight="1" x14ac:dyDescent="0.2">
      <c r="A75" s="168" t="s">
        <v>382</v>
      </c>
      <c r="B75" s="168"/>
      <c r="C75" s="168"/>
      <c r="D75" s="178">
        <f>D77</f>
        <v>0</v>
      </c>
      <c r="E75" s="178"/>
      <c r="F75" s="178">
        <f>F77</f>
        <v>30000</v>
      </c>
      <c r="G75" s="178"/>
      <c r="H75" s="178">
        <f>H77</f>
        <v>29639</v>
      </c>
      <c r="I75" s="178"/>
      <c r="J75" s="178">
        <f>J77</f>
        <v>30000</v>
      </c>
      <c r="K75" s="178"/>
      <c r="L75" s="178">
        <f>L77</f>
        <v>12879</v>
      </c>
      <c r="M75" s="178"/>
      <c r="N75" s="178">
        <f>N77</f>
        <v>16760</v>
      </c>
      <c r="O75" s="17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</row>
    <row r="76" spans="1:40" s="5" customFormat="1" ht="11.25" customHeight="1" x14ac:dyDescent="0.2">
      <c r="A76" s="168" t="s">
        <v>381</v>
      </c>
      <c r="B76" s="168"/>
      <c r="C76" s="153"/>
      <c r="D76" s="184"/>
      <c r="E76" s="184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</row>
    <row r="77" spans="1:40" s="5" customFormat="1" ht="12.95" customHeight="1" x14ac:dyDescent="0.2">
      <c r="A77" s="167" t="s">
        <v>503</v>
      </c>
      <c r="B77" s="168"/>
      <c r="C77" s="168"/>
      <c r="D77" s="187">
        <v>0</v>
      </c>
      <c r="E77" s="187"/>
      <c r="F77" s="150">
        <v>30000</v>
      </c>
      <c r="G77" s="150"/>
      <c r="H77" s="150">
        <v>29639</v>
      </c>
      <c r="I77" s="150"/>
      <c r="J77" s="150">
        <v>30000</v>
      </c>
      <c r="K77" s="150"/>
      <c r="L77" s="150">
        <f>29639-16760</f>
        <v>12879</v>
      </c>
      <c r="M77" s="150"/>
      <c r="N77" s="150">
        <f>D77+H77-L77</f>
        <v>16760</v>
      </c>
      <c r="O77" s="150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</row>
    <row r="78" spans="1:40" s="5" customFormat="1" ht="12.95" customHeight="1" x14ac:dyDescent="0.2">
      <c r="A78" s="168" t="s">
        <v>383</v>
      </c>
      <c r="B78" s="168"/>
      <c r="C78" s="168"/>
      <c r="D78" s="150">
        <f>SUM(D80:E80)</f>
        <v>0</v>
      </c>
      <c r="E78" s="150"/>
      <c r="F78" s="150">
        <f>SUM(F80:G80)</f>
        <v>0</v>
      </c>
      <c r="G78" s="150"/>
      <c r="H78" s="150">
        <f>SUM(H80:I80)</f>
        <v>0</v>
      </c>
      <c r="I78" s="150"/>
      <c r="J78" s="150">
        <f>SUM(J80:K80)</f>
        <v>0</v>
      </c>
      <c r="K78" s="150"/>
      <c r="L78" s="150">
        <f>L80</f>
        <v>0</v>
      </c>
      <c r="M78" s="150"/>
      <c r="N78" s="150">
        <f>SUM(N80:O80)</f>
        <v>0</v>
      </c>
      <c r="O78" s="150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</row>
    <row r="79" spans="1:40" s="5" customFormat="1" ht="12.95" hidden="1" customHeight="1" x14ac:dyDescent="0.2">
      <c r="A79" s="168" t="s">
        <v>381</v>
      </c>
      <c r="B79" s="168"/>
      <c r="C79" s="168"/>
      <c r="D79" s="190"/>
      <c r="E79" s="190"/>
      <c r="F79" s="186"/>
      <c r="G79" s="186"/>
      <c r="H79" s="185"/>
      <c r="I79" s="185"/>
      <c r="J79" s="190"/>
      <c r="K79" s="190"/>
      <c r="L79" s="186"/>
      <c r="M79" s="186"/>
      <c r="N79" s="186"/>
      <c r="O79" s="186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</row>
    <row r="80" spans="1:40" s="5" customFormat="1" ht="12.95" hidden="1" customHeight="1" x14ac:dyDescent="0.2">
      <c r="A80" s="153" t="s">
        <v>372</v>
      </c>
      <c r="B80" s="188"/>
      <c r="C80" s="189"/>
      <c r="D80" s="185">
        <v>0</v>
      </c>
      <c r="E80" s="186"/>
      <c r="F80" s="185">
        <v>0</v>
      </c>
      <c r="G80" s="186"/>
      <c r="H80" s="185">
        <v>0</v>
      </c>
      <c r="I80" s="186"/>
      <c r="J80" s="185">
        <v>0</v>
      </c>
      <c r="K80" s="186"/>
      <c r="L80" s="185">
        <v>0</v>
      </c>
      <c r="M80" s="186"/>
      <c r="N80" s="185">
        <f>D80+H80-L80</f>
        <v>0</v>
      </c>
      <c r="O80" s="186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</row>
    <row r="81" spans="1:40" s="5" customFormat="1" ht="11.25" customHeight="1" x14ac:dyDescent="0.2">
      <c r="A81" s="168" t="s">
        <v>94</v>
      </c>
      <c r="B81" s="168"/>
      <c r="C81" s="168"/>
      <c r="D81" s="150">
        <f>D75+D78</f>
        <v>0</v>
      </c>
      <c r="E81" s="150"/>
      <c r="F81" s="150">
        <f>F75+F78</f>
        <v>30000</v>
      </c>
      <c r="G81" s="150"/>
      <c r="H81" s="150">
        <f>H75+H78</f>
        <v>29639</v>
      </c>
      <c r="I81" s="150"/>
      <c r="J81" s="150">
        <f>J75+J78</f>
        <v>30000</v>
      </c>
      <c r="K81" s="150"/>
      <c r="L81" s="150">
        <f>L75+L78</f>
        <v>12879</v>
      </c>
      <c r="M81" s="150"/>
      <c r="N81" s="150">
        <f>N75+N78</f>
        <v>16760</v>
      </c>
      <c r="O81" s="150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</row>
  </sheetData>
  <mergeCells count="311">
    <mergeCell ref="A79:C79"/>
    <mergeCell ref="N78:O78"/>
    <mergeCell ref="L77:M77"/>
    <mergeCell ref="J78:K78"/>
    <mergeCell ref="J77:K77"/>
    <mergeCell ref="L78:M78"/>
    <mergeCell ref="A77:C77"/>
    <mergeCell ref="D77:E77"/>
    <mergeCell ref="A81:C81"/>
    <mergeCell ref="D81:E81"/>
    <mergeCell ref="H80:I80"/>
    <mergeCell ref="A80:C80"/>
    <mergeCell ref="D80:E80"/>
    <mergeCell ref="F80:G80"/>
    <mergeCell ref="L79:M79"/>
    <mergeCell ref="F79:G79"/>
    <mergeCell ref="H79:I79"/>
    <mergeCell ref="J79:K79"/>
    <mergeCell ref="N79:O79"/>
    <mergeCell ref="D79:E79"/>
    <mergeCell ref="N81:O81"/>
    <mergeCell ref="J81:K81"/>
    <mergeCell ref="J80:K80"/>
    <mergeCell ref="L80:M80"/>
    <mergeCell ref="N77:O77"/>
    <mergeCell ref="F77:G77"/>
    <mergeCell ref="N75:O75"/>
    <mergeCell ref="H77:I77"/>
    <mergeCell ref="N76:O76"/>
    <mergeCell ref="L76:M76"/>
    <mergeCell ref="L75:M75"/>
    <mergeCell ref="L81:M81"/>
    <mergeCell ref="N80:O80"/>
    <mergeCell ref="F81:G81"/>
    <mergeCell ref="H81:I81"/>
    <mergeCell ref="A78:C78"/>
    <mergeCell ref="F78:G78"/>
    <mergeCell ref="H78:I78"/>
    <mergeCell ref="D78:E78"/>
    <mergeCell ref="N70:O71"/>
    <mergeCell ref="A73:C73"/>
    <mergeCell ref="D73:E73"/>
    <mergeCell ref="A74:C74"/>
    <mergeCell ref="D74:E74"/>
    <mergeCell ref="F74:G74"/>
    <mergeCell ref="N74:O74"/>
    <mergeCell ref="J74:K74"/>
    <mergeCell ref="H74:I74"/>
    <mergeCell ref="L74:M74"/>
    <mergeCell ref="A76:C76"/>
    <mergeCell ref="D76:E76"/>
    <mergeCell ref="J76:K76"/>
    <mergeCell ref="F75:G75"/>
    <mergeCell ref="J75:K75"/>
    <mergeCell ref="H76:I76"/>
    <mergeCell ref="H75:I75"/>
    <mergeCell ref="A75:C75"/>
    <mergeCell ref="A72:C72"/>
    <mergeCell ref="D72:E72"/>
    <mergeCell ref="D75:E75"/>
    <mergeCell ref="F76:G76"/>
    <mergeCell ref="F72:G72"/>
    <mergeCell ref="H72:I72"/>
    <mergeCell ref="H73:I73"/>
    <mergeCell ref="F47:O47"/>
    <mergeCell ref="A51:C52"/>
    <mergeCell ref="M63:O63"/>
    <mergeCell ref="N73:O73"/>
    <mergeCell ref="L73:M73"/>
    <mergeCell ref="M64:O64"/>
    <mergeCell ref="K64:L64"/>
    <mergeCell ref="M66:O66"/>
    <mergeCell ref="L72:M72"/>
    <mergeCell ref="A68:O68"/>
    <mergeCell ref="F73:G73"/>
    <mergeCell ref="L71:M71"/>
    <mergeCell ref="J72:K72"/>
    <mergeCell ref="F65:G65"/>
    <mergeCell ref="H65:J65"/>
    <mergeCell ref="K65:L65"/>
    <mergeCell ref="M65:O65"/>
    <mergeCell ref="N72:O72"/>
    <mergeCell ref="H66:J66"/>
    <mergeCell ref="K66:L66"/>
    <mergeCell ref="B65:C65"/>
    <mergeCell ref="J71:K71"/>
    <mergeCell ref="A70:C71"/>
    <mergeCell ref="D70:E71"/>
    <mergeCell ref="B64:C64"/>
    <mergeCell ref="H71:I71"/>
    <mergeCell ref="J73:K73"/>
    <mergeCell ref="F70:I70"/>
    <mergeCell ref="D64:E64"/>
    <mergeCell ref="H64:J64"/>
    <mergeCell ref="F64:G64"/>
    <mergeCell ref="D65:E65"/>
    <mergeCell ref="B66:C66"/>
    <mergeCell ref="D66:E66"/>
    <mergeCell ref="F66:G66"/>
    <mergeCell ref="F71:G71"/>
    <mergeCell ref="J70:M70"/>
    <mergeCell ref="D51:F51"/>
    <mergeCell ref="A58:C58"/>
    <mergeCell ref="K63:L63"/>
    <mergeCell ref="H63:J63"/>
    <mergeCell ref="A53:C53"/>
    <mergeCell ref="A54:C54"/>
    <mergeCell ref="A55:C55"/>
    <mergeCell ref="B63:C63"/>
    <mergeCell ref="F63:G63"/>
    <mergeCell ref="N38:O38"/>
    <mergeCell ref="F44:O44"/>
    <mergeCell ref="J38:K38"/>
    <mergeCell ref="D63:E63"/>
    <mergeCell ref="A61:O61"/>
    <mergeCell ref="A56:C56"/>
    <mergeCell ref="A57:C57"/>
    <mergeCell ref="A59:C59"/>
    <mergeCell ref="B46:E46"/>
    <mergeCell ref="F46:O46"/>
    <mergeCell ref="A41:O41"/>
    <mergeCell ref="B45:E45"/>
    <mergeCell ref="F45:O45"/>
    <mergeCell ref="L38:M38"/>
    <mergeCell ref="A43:O43"/>
    <mergeCell ref="A40:O40"/>
    <mergeCell ref="H38:I38"/>
    <mergeCell ref="B44:E44"/>
    <mergeCell ref="B47:E47"/>
    <mergeCell ref="A49:O49"/>
    <mergeCell ref="O51:O52"/>
    <mergeCell ref="M51:N51"/>
    <mergeCell ref="G51:I51"/>
    <mergeCell ref="J51:L51"/>
    <mergeCell ref="A37:E37"/>
    <mergeCell ref="F37:G37"/>
    <mergeCell ref="A38:E38"/>
    <mergeCell ref="F38:G38"/>
    <mergeCell ref="N37:O37"/>
    <mergeCell ref="L37:M37"/>
    <mergeCell ref="J37:K37"/>
    <mergeCell ref="H37:I37"/>
    <mergeCell ref="A32:E32"/>
    <mergeCell ref="F32:G32"/>
    <mergeCell ref="H32:I32"/>
    <mergeCell ref="J32:K32"/>
    <mergeCell ref="A33:E33"/>
    <mergeCell ref="A36:E36"/>
    <mergeCell ref="F36:G36"/>
    <mergeCell ref="H36:I36"/>
    <mergeCell ref="N33:O33"/>
    <mergeCell ref="N32:O32"/>
    <mergeCell ref="L32:M32"/>
    <mergeCell ref="J33:K33"/>
    <mergeCell ref="F33:G33"/>
    <mergeCell ref="L33:M33"/>
    <mergeCell ref="H33:I33"/>
    <mergeCell ref="A35:E35"/>
    <mergeCell ref="N28:O28"/>
    <mergeCell ref="N31:O31"/>
    <mergeCell ref="L31:M31"/>
    <mergeCell ref="N30:O30"/>
    <mergeCell ref="F29:G29"/>
    <mergeCell ref="A27:E27"/>
    <mergeCell ref="A28:E28"/>
    <mergeCell ref="A26:E26"/>
    <mergeCell ref="F26:G26"/>
    <mergeCell ref="L29:M29"/>
    <mergeCell ref="J28:K28"/>
    <mergeCell ref="J30:K30"/>
    <mergeCell ref="L26:M26"/>
    <mergeCell ref="A31:E31"/>
    <mergeCell ref="H26:I26"/>
    <mergeCell ref="J26:K26"/>
    <mergeCell ref="H30:I30"/>
    <mergeCell ref="J29:K29"/>
    <mergeCell ref="F28:G28"/>
    <mergeCell ref="F31:G31"/>
    <mergeCell ref="H31:I31"/>
    <mergeCell ref="J31:K31"/>
    <mergeCell ref="L30:M30"/>
    <mergeCell ref="L28:M28"/>
    <mergeCell ref="N29:O29"/>
    <mergeCell ref="N24:O24"/>
    <mergeCell ref="L24:M24"/>
    <mergeCell ref="L18:M18"/>
    <mergeCell ref="J22:K22"/>
    <mergeCell ref="H29:I29"/>
    <mergeCell ref="L27:M27"/>
    <mergeCell ref="F14:G14"/>
    <mergeCell ref="H14:I14"/>
    <mergeCell ref="F22:G22"/>
    <mergeCell ref="H22:I22"/>
    <mergeCell ref="J27:K27"/>
    <mergeCell ref="H25:I25"/>
    <mergeCell ref="J25:K25"/>
    <mergeCell ref="H27:I27"/>
    <mergeCell ref="F27:G27"/>
    <mergeCell ref="F25:G25"/>
    <mergeCell ref="F23:G23"/>
    <mergeCell ref="F21:G21"/>
    <mergeCell ref="F17:G17"/>
    <mergeCell ref="F24:G24"/>
    <mergeCell ref="L25:M25"/>
    <mergeCell ref="H23:I23"/>
    <mergeCell ref="H24:I24"/>
    <mergeCell ref="N27:O27"/>
    <mergeCell ref="A15:E15"/>
    <mergeCell ref="F15:G15"/>
    <mergeCell ref="N26:O26"/>
    <mergeCell ref="N25:O25"/>
    <mergeCell ref="N22:O22"/>
    <mergeCell ref="L23:M23"/>
    <mergeCell ref="L19:M19"/>
    <mergeCell ref="L22:M22"/>
    <mergeCell ref="N19:O19"/>
    <mergeCell ref="N18:O18"/>
    <mergeCell ref="A22:E22"/>
    <mergeCell ref="A25:E25"/>
    <mergeCell ref="A17:E17"/>
    <mergeCell ref="A24:E24"/>
    <mergeCell ref="N23:O23"/>
    <mergeCell ref="J21:K21"/>
    <mergeCell ref="J23:K23"/>
    <mergeCell ref="A20:E20"/>
    <mergeCell ref="F20:G20"/>
    <mergeCell ref="H20:I20"/>
    <mergeCell ref="J20:K20"/>
    <mergeCell ref="J18:K18"/>
    <mergeCell ref="N11:O11"/>
    <mergeCell ref="L14:M14"/>
    <mergeCell ref="H18:I18"/>
    <mergeCell ref="N17:O17"/>
    <mergeCell ref="H17:I17"/>
    <mergeCell ref="H21:I21"/>
    <mergeCell ref="L12:M12"/>
    <mergeCell ref="H12:I12"/>
    <mergeCell ref="H11:I11"/>
    <mergeCell ref="L11:M11"/>
    <mergeCell ref="N13:O13"/>
    <mergeCell ref="N12:O12"/>
    <mergeCell ref="N21:O21"/>
    <mergeCell ref="L21:M21"/>
    <mergeCell ref="J14:K14"/>
    <mergeCell ref="J16:K16"/>
    <mergeCell ref="J17:K17"/>
    <mergeCell ref="L15:M15"/>
    <mergeCell ref="L16:M16"/>
    <mergeCell ref="N20:O20"/>
    <mergeCell ref="N16:O16"/>
    <mergeCell ref="L20:M20"/>
    <mergeCell ref="N15:O15"/>
    <mergeCell ref="N14:O14"/>
    <mergeCell ref="A11:E11"/>
    <mergeCell ref="F11:G11"/>
    <mergeCell ref="F12:G12"/>
    <mergeCell ref="J12:K12"/>
    <mergeCell ref="F13:G13"/>
    <mergeCell ref="H13:I13"/>
    <mergeCell ref="J13:K13"/>
    <mergeCell ref="L13:M13"/>
    <mergeCell ref="H19:I19"/>
    <mergeCell ref="J19:K19"/>
    <mergeCell ref="A19:E19"/>
    <mergeCell ref="F19:G19"/>
    <mergeCell ref="H16:I16"/>
    <mergeCell ref="F16:G16"/>
    <mergeCell ref="A16:E16"/>
    <mergeCell ref="A13:E13"/>
    <mergeCell ref="J11:K11"/>
    <mergeCell ref="A12:E12"/>
    <mergeCell ref="H15:I15"/>
    <mergeCell ref="J15:K15"/>
    <mergeCell ref="A14:E14"/>
    <mergeCell ref="L17:M17"/>
    <mergeCell ref="A18:E18"/>
    <mergeCell ref="F18:G18"/>
    <mergeCell ref="A5:O5"/>
    <mergeCell ref="A7:O7"/>
    <mergeCell ref="L10:M10"/>
    <mergeCell ref="N10:O10"/>
    <mergeCell ref="H10:I10"/>
    <mergeCell ref="A1:O1"/>
    <mergeCell ref="A2:O2"/>
    <mergeCell ref="A3:O3"/>
    <mergeCell ref="A4:O4"/>
    <mergeCell ref="J10:K10"/>
    <mergeCell ref="A8:O8"/>
    <mergeCell ref="A10:E10"/>
    <mergeCell ref="F10:G10"/>
    <mergeCell ref="A34:E34"/>
    <mergeCell ref="F34:G34"/>
    <mergeCell ref="H34:I34"/>
    <mergeCell ref="J34:K34"/>
    <mergeCell ref="L34:M34"/>
    <mergeCell ref="J24:K24"/>
    <mergeCell ref="A21:E21"/>
    <mergeCell ref="A23:E23"/>
    <mergeCell ref="A29:E29"/>
    <mergeCell ref="F30:G30"/>
    <mergeCell ref="A30:E30"/>
    <mergeCell ref="H28:I28"/>
    <mergeCell ref="N34:O34"/>
    <mergeCell ref="H35:I35"/>
    <mergeCell ref="J36:K36"/>
    <mergeCell ref="L36:M36"/>
    <mergeCell ref="J35:K35"/>
    <mergeCell ref="L35:M35"/>
    <mergeCell ref="N35:O35"/>
    <mergeCell ref="N36:O36"/>
    <mergeCell ref="F35:G35"/>
  </mergeCells>
  <phoneticPr fontId="0" type="noConversion"/>
  <pageMargins left="0.35433070866141736" right="0.35433070866141736" top="0.35433070866141736" bottom="0.35433070866141736" header="0" footer="0"/>
  <pageSetup paperSize="9" scale="92" fitToHeight="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E80"/>
  <sheetViews>
    <sheetView zoomScale="80" zoomScaleNormal="80" workbookViewId="0">
      <selection activeCell="Q85" sqref="Q85"/>
    </sheetView>
  </sheetViews>
  <sheetFormatPr defaultColWidth="8.7109375" defaultRowHeight="11.45" customHeight="1" x14ac:dyDescent="0.2"/>
  <cols>
    <col min="1" max="1" width="3.5703125" style="13" customWidth="1"/>
    <col min="2" max="2" width="28.28515625" style="13" customWidth="1"/>
    <col min="3" max="3" width="6.7109375" style="13" customWidth="1"/>
    <col min="4" max="4" width="7.42578125" style="13" customWidth="1"/>
    <col min="5" max="19" width="6.7109375" style="13" customWidth="1"/>
    <col min="20" max="20" width="8.5703125" style="13" customWidth="1"/>
    <col min="21" max="21" width="9.140625" style="13" customWidth="1"/>
    <col min="22" max="23" width="9.5703125" style="13" customWidth="1"/>
    <col min="24" max="27" width="6.7109375" style="13" customWidth="1"/>
    <col min="28" max="28" width="8.85546875" style="13" customWidth="1"/>
    <col min="29" max="29" width="8.42578125" style="13" customWidth="1"/>
    <col min="30" max="30" width="11" style="13" bestFit="1" customWidth="1"/>
    <col min="31" max="31" width="5.7109375" style="13" customWidth="1"/>
    <col min="32" max="16384" width="8.7109375" style="11"/>
  </cols>
  <sheetData>
    <row r="1" spans="1:31" s="13" customFormat="1" ht="4.5" customHeight="1" x14ac:dyDescent="0.2"/>
    <row r="2" spans="1:31" s="29" customFormat="1" ht="15" customHeight="1" x14ac:dyDescent="0.2">
      <c r="B2" s="191" t="s">
        <v>384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</row>
    <row r="3" spans="1:31" s="13" customFormat="1" ht="15" customHeight="1" x14ac:dyDescent="0.2"/>
    <row r="4" spans="1:31" s="13" customFormat="1" ht="24" customHeight="1" x14ac:dyDescent="0.2">
      <c r="A4" s="145" t="s">
        <v>385</v>
      </c>
      <c r="B4" s="200" t="s">
        <v>386</v>
      </c>
      <c r="C4" s="192" t="s">
        <v>387</v>
      </c>
      <c r="D4" s="192"/>
      <c r="E4" s="192"/>
      <c r="F4" s="192"/>
      <c r="G4" s="198" t="s">
        <v>388</v>
      </c>
      <c r="H4" s="198"/>
      <c r="I4" s="198"/>
      <c r="J4" s="198"/>
      <c r="K4" s="198"/>
      <c r="L4" s="198"/>
      <c r="M4" s="198"/>
      <c r="N4" s="198"/>
      <c r="O4" s="198"/>
      <c r="P4" s="195" t="s">
        <v>389</v>
      </c>
      <c r="Q4" s="195"/>
      <c r="R4" s="195"/>
      <c r="S4" s="195"/>
      <c r="T4" s="195"/>
      <c r="U4" s="195"/>
      <c r="V4" s="195"/>
      <c r="W4" s="195"/>
      <c r="X4" s="195"/>
      <c r="Y4" s="195"/>
      <c r="Z4" s="192" t="s">
        <v>390</v>
      </c>
      <c r="AA4" s="192"/>
      <c r="AB4" s="192"/>
      <c r="AC4" s="192" t="s">
        <v>391</v>
      </c>
      <c r="AD4" s="192"/>
      <c r="AE4" s="192"/>
    </row>
    <row r="5" spans="1:31" s="13" customFormat="1" ht="45.75" customHeight="1" x14ac:dyDescent="0.2">
      <c r="A5" s="145"/>
      <c r="B5" s="196"/>
      <c r="C5" s="192"/>
      <c r="D5" s="192"/>
      <c r="E5" s="192"/>
      <c r="F5" s="192"/>
      <c r="G5" s="198"/>
      <c r="H5" s="198"/>
      <c r="I5" s="198"/>
      <c r="J5" s="198"/>
      <c r="K5" s="198"/>
      <c r="L5" s="198"/>
      <c r="M5" s="198"/>
      <c r="N5" s="198"/>
      <c r="O5" s="198"/>
      <c r="P5" s="196" t="s">
        <v>392</v>
      </c>
      <c r="Q5" s="196"/>
      <c r="R5" s="196"/>
      <c r="S5" s="196"/>
      <c r="T5" s="192" t="s">
        <v>393</v>
      </c>
      <c r="U5" s="192"/>
      <c r="V5" s="192"/>
      <c r="W5" s="192" t="s">
        <v>394</v>
      </c>
      <c r="X5" s="192"/>
      <c r="Y5" s="192"/>
      <c r="Z5" s="192"/>
      <c r="AA5" s="192"/>
      <c r="AB5" s="192"/>
      <c r="AC5" s="192"/>
      <c r="AD5" s="192"/>
      <c r="AE5" s="192"/>
    </row>
    <row r="6" spans="1:31" s="29" customFormat="1" ht="18" customHeight="1" x14ac:dyDescent="0.2">
      <c r="A6" s="94">
        <v>1</v>
      </c>
      <c r="B6" s="94">
        <v>2</v>
      </c>
      <c r="C6" s="193">
        <v>3</v>
      </c>
      <c r="D6" s="193"/>
      <c r="E6" s="193"/>
      <c r="F6" s="193"/>
      <c r="G6" s="194">
        <v>4</v>
      </c>
      <c r="H6" s="194"/>
      <c r="I6" s="194"/>
      <c r="J6" s="194"/>
      <c r="K6" s="194"/>
      <c r="L6" s="194"/>
      <c r="M6" s="194"/>
      <c r="N6" s="194"/>
      <c r="O6" s="194"/>
      <c r="P6" s="193">
        <v>5</v>
      </c>
      <c r="Q6" s="193"/>
      <c r="R6" s="193"/>
      <c r="S6" s="193"/>
      <c r="T6" s="193">
        <v>6</v>
      </c>
      <c r="U6" s="193"/>
      <c r="V6" s="193"/>
      <c r="W6" s="193">
        <v>7</v>
      </c>
      <c r="X6" s="193"/>
      <c r="Y6" s="193"/>
      <c r="Z6" s="193">
        <v>8</v>
      </c>
      <c r="AA6" s="193"/>
      <c r="AB6" s="193"/>
      <c r="AC6" s="193">
        <v>9</v>
      </c>
      <c r="AD6" s="193"/>
      <c r="AE6" s="193"/>
    </row>
    <row r="7" spans="1:31" s="13" customFormat="1" ht="21" customHeight="1" x14ac:dyDescent="0.2">
      <c r="A7" s="94">
        <v>1</v>
      </c>
      <c r="B7" s="113" t="s">
        <v>395</v>
      </c>
      <c r="C7" s="197" t="s">
        <v>426</v>
      </c>
      <c r="D7" s="197"/>
      <c r="E7" s="197"/>
      <c r="F7" s="197"/>
      <c r="G7" s="198" t="s">
        <v>396</v>
      </c>
      <c r="H7" s="198"/>
      <c r="I7" s="198"/>
      <c r="J7" s="198"/>
      <c r="K7" s="198"/>
      <c r="L7" s="198"/>
      <c r="M7" s="198"/>
      <c r="N7" s="198"/>
      <c r="O7" s="198"/>
      <c r="P7" s="199">
        <v>127.5</v>
      </c>
      <c r="Q7" s="199"/>
      <c r="R7" s="199"/>
      <c r="S7" s="199"/>
      <c r="T7" s="199">
        <v>56</v>
      </c>
      <c r="U7" s="199"/>
      <c r="V7" s="199"/>
      <c r="W7" s="199">
        <v>30.4</v>
      </c>
      <c r="X7" s="199"/>
      <c r="Y7" s="199"/>
      <c r="Z7" s="201">
        <f>W7-T7</f>
        <v>-25.6</v>
      </c>
      <c r="AA7" s="201"/>
      <c r="AB7" s="201"/>
      <c r="AC7" s="201">
        <f>W7/T7</f>
        <v>0.54285714285714282</v>
      </c>
      <c r="AD7" s="201"/>
      <c r="AE7" s="201"/>
    </row>
    <row r="8" spans="1:31" s="13" customFormat="1" ht="21" customHeight="1" x14ac:dyDescent="0.2">
      <c r="A8" s="94">
        <v>2</v>
      </c>
      <c r="B8" s="113" t="s">
        <v>397</v>
      </c>
      <c r="C8" s="197" t="s">
        <v>426</v>
      </c>
      <c r="D8" s="197"/>
      <c r="E8" s="197"/>
      <c r="F8" s="197"/>
      <c r="G8" s="198" t="s">
        <v>396</v>
      </c>
      <c r="H8" s="198"/>
      <c r="I8" s="198"/>
      <c r="J8" s="198"/>
      <c r="K8" s="198"/>
      <c r="L8" s="198"/>
      <c r="M8" s="198"/>
      <c r="N8" s="198"/>
      <c r="O8" s="198"/>
      <c r="P8" s="199">
        <v>132.69999999999999</v>
      </c>
      <c r="Q8" s="199"/>
      <c r="R8" s="199"/>
      <c r="S8" s="199"/>
      <c r="T8" s="199">
        <v>95.3</v>
      </c>
      <c r="U8" s="199"/>
      <c r="V8" s="199"/>
      <c r="W8" s="199">
        <v>59</v>
      </c>
      <c r="X8" s="199"/>
      <c r="Y8" s="199"/>
      <c r="Z8" s="201">
        <f t="shared" ref="Z8:Z23" si="0">W8-T8</f>
        <v>-36.299999999999997</v>
      </c>
      <c r="AA8" s="201"/>
      <c r="AB8" s="201"/>
      <c r="AC8" s="201">
        <f t="shared" ref="AC8:AC20" si="1">W8/T8</f>
        <v>0.61909758656873037</v>
      </c>
      <c r="AD8" s="201"/>
      <c r="AE8" s="201"/>
    </row>
    <row r="9" spans="1:31" s="13" customFormat="1" ht="21" customHeight="1" x14ac:dyDescent="0.2">
      <c r="A9" s="94">
        <v>3</v>
      </c>
      <c r="B9" s="113" t="s">
        <v>398</v>
      </c>
      <c r="C9" s="197" t="s">
        <v>426</v>
      </c>
      <c r="D9" s="197"/>
      <c r="E9" s="197"/>
      <c r="F9" s="197"/>
      <c r="G9" s="198" t="s">
        <v>396</v>
      </c>
      <c r="H9" s="198"/>
      <c r="I9" s="198"/>
      <c r="J9" s="198"/>
      <c r="K9" s="198"/>
      <c r="L9" s="198"/>
      <c r="M9" s="198"/>
      <c r="N9" s="198"/>
      <c r="O9" s="198"/>
      <c r="P9" s="199">
        <v>147.1</v>
      </c>
      <c r="Q9" s="199"/>
      <c r="R9" s="199"/>
      <c r="S9" s="199"/>
      <c r="T9" s="199">
        <v>89.6</v>
      </c>
      <c r="U9" s="199"/>
      <c r="V9" s="199"/>
      <c r="W9" s="199">
        <v>82.6</v>
      </c>
      <c r="X9" s="199"/>
      <c r="Y9" s="199"/>
      <c r="Z9" s="201">
        <f t="shared" si="0"/>
        <v>-7</v>
      </c>
      <c r="AA9" s="201"/>
      <c r="AB9" s="201"/>
      <c r="AC9" s="201">
        <f t="shared" si="1"/>
        <v>0.921875</v>
      </c>
      <c r="AD9" s="201"/>
      <c r="AE9" s="201"/>
    </row>
    <row r="10" spans="1:31" s="13" customFormat="1" ht="21" customHeight="1" x14ac:dyDescent="0.2">
      <c r="A10" s="94">
        <v>4</v>
      </c>
      <c r="B10" s="113" t="s">
        <v>399</v>
      </c>
      <c r="C10" s="197" t="s">
        <v>426</v>
      </c>
      <c r="D10" s="197"/>
      <c r="E10" s="197"/>
      <c r="F10" s="197"/>
      <c r="G10" s="198" t="s">
        <v>396</v>
      </c>
      <c r="H10" s="198"/>
      <c r="I10" s="198"/>
      <c r="J10" s="198"/>
      <c r="K10" s="198"/>
      <c r="L10" s="198"/>
      <c r="M10" s="198"/>
      <c r="N10" s="198"/>
      <c r="O10" s="198"/>
      <c r="P10" s="199">
        <v>137.4</v>
      </c>
      <c r="Q10" s="199"/>
      <c r="R10" s="199"/>
      <c r="S10" s="199"/>
      <c r="T10" s="199">
        <v>114.2</v>
      </c>
      <c r="U10" s="199"/>
      <c r="V10" s="199"/>
      <c r="W10" s="199">
        <v>64.2</v>
      </c>
      <c r="X10" s="199"/>
      <c r="Y10" s="199"/>
      <c r="Z10" s="201">
        <f t="shared" si="0"/>
        <v>-50</v>
      </c>
      <c r="AA10" s="201"/>
      <c r="AB10" s="201"/>
      <c r="AC10" s="201">
        <f t="shared" si="1"/>
        <v>0.56217162872154114</v>
      </c>
      <c r="AD10" s="201"/>
      <c r="AE10" s="201"/>
    </row>
    <row r="11" spans="1:31" s="13" customFormat="1" ht="21" customHeight="1" x14ac:dyDescent="0.2">
      <c r="A11" s="94">
        <v>5</v>
      </c>
      <c r="B11" s="113" t="s">
        <v>400</v>
      </c>
      <c r="C11" s="197" t="s">
        <v>426</v>
      </c>
      <c r="D11" s="197"/>
      <c r="E11" s="197"/>
      <c r="F11" s="197"/>
      <c r="G11" s="198" t="s">
        <v>401</v>
      </c>
      <c r="H11" s="198"/>
      <c r="I11" s="198"/>
      <c r="J11" s="198"/>
      <c r="K11" s="198"/>
      <c r="L11" s="198"/>
      <c r="M11" s="198"/>
      <c r="N11" s="198"/>
      <c r="O11" s="198"/>
      <c r="P11" s="199">
        <v>77.7</v>
      </c>
      <c r="Q11" s="199"/>
      <c r="R11" s="199"/>
      <c r="S11" s="199"/>
      <c r="T11" s="199">
        <v>44.9</v>
      </c>
      <c r="U11" s="199"/>
      <c r="V11" s="199"/>
      <c r="W11" s="199">
        <v>80.7</v>
      </c>
      <c r="X11" s="199"/>
      <c r="Y11" s="199"/>
      <c r="Z11" s="201">
        <f t="shared" si="0"/>
        <v>35.800000000000004</v>
      </c>
      <c r="AA11" s="201"/>
      <c r="AB11" s="201"/>
      <c r="AC11" s="201">
        <f t="shared" si="1"/>
        <v>1.7973273942093542</v>
      </c>
      <c r="AD11" s="201"/>
      <c r="AE11" s="201"/>
    </row>
    <row r="12" spans="1:31" s="13" customFormat="1" ht="21" customHeight="1" x14ac:dyDescent="0.2">
      <c r="A12" s="94">
        <v>6</v>
      </c>
      <c r="B12" s="113" t="s">
        <v>402</v>
      </c>
      <c r="C12" s="197" t="s">
        <v>426</v>
      </c>
      <c r="D12" s="197"/>
      <c r="E12" s="197"/>
      <c r="F12" s="197"/>
      <c r="G12" s="198" t="s">
        <v>401</v>
      </c>
      <c r="H12" s="198"/>
      <c r="I12" s="198"/>
      <c r="J12" s="198"/>
      <c r="K12" s="198"/>
      <c r="L12" s="198"/>
      <c r="M12" s="198"/>
      <c r="N12" s="198"/>
      <c r="O12" s="198"/>
      <c r="P12" s="199">
        <v>2.6</v>
      </c>
      <c r="Q12" s="199"/>
      <c r="R12" s="199"/>
      <c r="S12" s="199"/>
      <c r="T12" s="199">
        <v>25.2</v>
      </c>
      <c r="U12" s="199"/>
      <c r="V12" s="199"/>
      <c r="W12" s="199">
        <v>0</v>
      </c>
      <c r="X12" s="199"/>
      <c r="Y12" s="199"/>
      <c r="Z12" s="201">
        <f t="shared" si="0"/>
        <v>-25.2</v>
      </c>
      <c r="AA12" s="201"/>
      <c r="AB12" s="201"/>
      <c r="AC12" s="201">
        <f t="shared" si="1"/>
        <v>0</v>
      </c>
      <c r="AD12" s="201"/>
      <c r="AE12" s="201"/>
    </row>
    <row r="13" spans="1:31" s="13" customFormat="1" ht="21" customHeight="1" x14ac:dyDescent="0.2">
      <c r="A13" s="94">
        <v>7</v>
      </c>
      <c r="B13" s="113" t="s">
        <v>403</v>
      </c>
      <c r="C13" s="197" t="s">
        <v>426</v>
      </c>
      <c r="D13" s="197"/>
      <c r="E13" s="197"/>
      <c r="F13" s="197"/>
      <c r="G13" s="198" t="s">
        <v>396</v>
      </c>
      <c r="H13" s="198"/>
      <c r="I13" s="198"/>
      <c r="J13" s="198"/>
      <c r="K13" s="198"/>
      <c r="L13" s="198"/>
      <c r="M13" s="198"/>
      <c r="N13" s="198"/>
      <c r="O13" s="198"/>
      <c r="P13" s="199">
        <v>126.7</v>
      </c>
      <c r="Q13" s="199"/>
      <c r="R13" s="199"/>
      <c r="S13" s="199"/>
      <c r="T13" s="199">
        <v>108</v>
      </c>
      <c r="U13" s="199"/>
      <c r="V13" s="199"/>
      <c r="W13" s="199">
        <v>25.6</v>
      </c>
      <c r="X13" s="199"/>
      <c r="Y13" s="199"/>
      <c r="Z13" s="201">
        <f t="shared" si="0"/>
        <v>-82.4</v>
      </c>
      <c r="AA13" s="201"/>
      <c r="AB13" s="201"/>
      <c r="AC13" s="201">
        <f t="shared" si="1"/>
        <v>0.23703703703703705</v>
      </c>
      <c r="AD13" s="201"/>
      <c r="AE13" s="201"/>
    </row>
    <row r="14" spans="1:31" s="13" customFormat="1" ht="21" customHeight="1" x14ac:dyDescent="0.2">
      <c r="A14" s="94">
        <v>8</v>
      </c>
      <c r="B14" s="113" t="s">
        <v>404</v>
      </c>
      <c r="C14" s="197" t="s">
        <v>426</v>
      </c>
      <c r="D14" s="197"/>
      <c r="E14" s="197"/>
      <c r="F14" s="197"/>
      <c r="G14" s="198" t="s">
        <v>396</v>
      </c>
      <c r="H14" s="198"/>
      <c r="I14" s="198"/>
      <c r="J14" s="198"/>
      <c r="K14" s="198"/>
      <c r="L14" s="198"/>
      <c r="M14" s="198"/>
      <c r="N14" s="198"/>
      <c r="O14" s="198"/>
      <c r="P14" s="199">
        <v>90.1</v>
      </c>
      <c r="Q14" s="199"/>
      <c r="R14" s="199"/>
      <c r="S14" s="199"/>
      <c r="T14" s="199">
        <v>89.5</v>
      </c>
      <c r="U14" s="199"/>
      <c r="V14" s="199"/>
      <c r="W14" s="199">
        <v>69.099999999999994</v>
      </c>
      <c r="X14" s="199"/>
      <c r="Y14" s="199"/>
      <c r="Z14" s="201">
        <f t="shared" si="0"/>
        <v>-20.400000000000006</v>
      </c>
      <c r="AA14" s="201"/>
      <c r="AB14" s="201"/>
      <c r="AC14" s="201">
        <f t="shared" si="1"/>
        <v>0.77206703910614516</v>
      </c>
      <c r="AD14" s="201"/>
      <c r="AE14" s="201"/>
    </row>
    <row r="15" spans="1:31" s="13" customFormat="1" ht="21" customHeight="1" x14ac:dyDescent="0.2">
      <c r="A15" s="94">
        <v>9</v>
      </c>
      <c r="B15" s="113" t="s">
        <v>405</v>
      </c>
      <c r="C15" s="197" t="s">
        <v>426</v>
      </c>
      <c r="D15" s="197"/>
      <c r="E15" s="197"/>
      <c r="F15" s="197"/>
      <c r="G15" s="198" t="s">
        <v>396</v>
      </c>
      <c r="H15" s="198"/>
      <c r="I15" s="198"/>
      <c r="J15" s="198"/>
      <c r="K15" s="198"/>
      <c r="L15" s="198"/>
      <c r="M15" s="198"/>
      <c r="N15" s="198"/>
      <c r="O15" s="198"/>
      <c r="P15" s="199">
        <v>31.4</v>
      </c>
      <c r="Q15" s="199"/>
      <c r="R15" s="199"/>
      <c r="S15" s="199"/>
      <c r="T15" s="199">
        <v>38</v>
      </c>
      <c r="U15" s="199"/>
      <c r="V15" s="199"/>
      <c r="W15" s="199">
        <v>35.9</v>
      </c>
      <c r="X15" s="199"/>
      <c r="Y15" s="199"/>
      <c r="Z15" s="201">
        <f t="shared" si="0"/>
        <v>-2.1000000000000014</v>
      </c>
      <c r="AA15" s="201"/>
      <c r="AB15" s="201"/>
      <c r="AC15" s="201">
        <f t="shared" si="1"/>
        <v>0.9447368421052631</v>
      </c>
      <c r="AD15" s="201"/>
      <c r="AE15" s="201"/>
    </row>
    <row r="16" spans="1:31" s="13" customFormat="1" ht="21" customHeight="1" x14ac:dyDescent="0.2">
      <c r="A16" s="94">
        <v>10</v>
      </c>
      <c r="B16" s="113" t="s">
        <v>406</v>
      </c>
      <c r="C16" s="197" t="s">
        <v>426</v>
      </c>
      <c r="D16" s="197"/>
      <c r="E16" s="197"/>
      <c r="F16" s="197"/>
      <c r="G16" s="198" t="s">
        <v>396</v>
      </c>
      <c r="H16" s="198"/>
      <c r="I16" s="198"/>
      <c r="J16" s="198"/>
      <c r="K16" s="198"/>
      <c r="L16" s="198"/>
      <c r="M16" s="198"/>
      <c r="N16" s="198"/>
      <c r="O16" s="198"/>
      <c r="P16" s="199">
        <v>14.3</v>
      </c>
      <c r="Q16" s="199"/>
      <c r="R16" s="199"/>
      <c r="S16" s="199"/>
      <c r="T16" s="199">
        <v>32</v>
      </c>
      <c r="U16" s="199"/>
      <c r="V16" s="199"/>
      <c r="W16" s="199">
        <v>10.6</v>
      </c>
      <c r="X16" s="199"/>
      <c r="Y16" s="199"/>
      <c r="Z16" s="201">
        <f t="shared" si="0"/>
        <v>-21.4</v>
      </c>
      <c r="AA16" s="201"/>
      <c r="AB16" s="201"/>
      <c r="AC16" s="201">
        <f t="shared" si="1"/>
        <v>0.33124999999999999</v>
      </c>
      <c r="AD16" s="201"/>
      <c r="AE16" s="201"/>
    </row>
    <row r="17" spans="1:31" s="13" customFormat="1" ht="21" customHeight="1" x14ac:dyDescent="0.2">
      <c r="A17" s="94">
        <v>11</v>
      </c>
      <c r="B17" s="113" t="s">
        <v>407</v>
      </c>
      <c r="C17" s="197" t="s">
        <v>426</v>
      </c>
      <c r="D17" s="197"/>
      <c r="E17" s="197"/>
      <c r="F17" s="197"/>
      <c r="G17" s="198" t="s">
        <v>401</v>
      </c>
      <c r="H17" s="198"/>
      <c r="I17" s="198"/>
      <c r="J17" s="198"/>
      <c r="K17" s="198"/>
      <c r="L17" s="198"/>
      <c r="M17" s="198"/>
      <c r="N17" s="198"/>
      <c r="O17" s="198"/>
      <c r="P17" s="199">
        <v>37.299999999999997</v>
      </c>
      <c r="Q17" s="199"/>
      <c r="R17" s="199"/>
      <c r="S17" s="199"/>
      <c r="T17" s="199">
        <v>39</v>
      </c>
      <c r="U17" s="199"/>
      <c r="V17" s="199"/>
      <c r="W17" s="199">
        <v>38.299999999999997</v>
      </c>
      <c r="X17" s="199"/>
      <c r="Y17" s="199"/>
      <c r="Z17" s="201">
        <f t="shared" si="0"/>
        <v>-0.70000000000000284</v>
      </c>
      <c r="AA17" s="201"/>
      <c r="AB17" s="201"/>
      <c r="AC17" s="201">
        <f t="shared" si="1"/>
        <v>0.982051282051282</v>
      </c>
      <c r="AD17" s="201"/>
      <c r="AE17" s="201"/>
    </row>
    <row r="18" spans="1:31" s="13" customFormat="1" ht="21" customHeight="1" x14ac:dyDescent="0.2">
      <c r="A18" s="94">
        <v>12</v>
      </c>
      <c r="B18" s="113" t="s">
        <v>408</v>
      </c>
      <c r="C18" s="197" t="s">
        <v>426</v>
      </c>
      <c r="D18" s="197"/>
      <c r="E18" s="197"/>
      <c r="F18" s="197"/>
      <c r="G18" s="198" t="s">
        <v>396</v>
      </c>
      <c r="H18" s="198"/>
      <c r="I18" s="198"/>
      <c r="J18" s="198"/>
      <c r="K18" s="198"/>
      <c r="L18" s="198"/>
      <c r="M18" s="198"/>
      <c r="N18" s="198"/>
      <c r="O18" s="198"/>
      <c r="P18" s="199">
        <v>54.3</v>
      </c>
      <c r="Q18" s="199"/>
      <c r="R18" s="199"/>
      <c r="S18" s="199"/>
      <c r="T18" s="199">
        <v>57</v>
      </c>
      <c r="U18" s="199"/>
      <c r="V18" s="199"/>
      <c r="W18" s="199">
        <v>4.0999999999999996</v>
      </c>
      <c r="X18" s="199"/>
      <c r="Y18" s="199"/>
      <c r="Z18" s="201">
        <f t="shared" si="0"/>
        <v>-52.9</v>
      </c>
      <c r="AA18" s="201"/>
      <c r="AB18" s="201"/>
      <c r="AC18" s="201">
        <f t="shared" si="1"/>
        <v>7.1929824561403496E-2</v>
      </c>
      <c r="AD18" s="201"/>
      <c r="AE18" s="201"/>
    </row>
    <row r="19" spans="1:31" s="13" customFormat="1" ht="21" customHeight="1" x14ac:dyDescent="0.2">
      <c r="A19" s="94">
        <v>13</v>
      </c>
      <c r="B19" s="113" t="s">
        <v>409</v>
      </c>
      <c r="C19" s="197" t="s">
        <v>426</v>
      </c>
      <c r="D19" s="197"/>
      <c r="E19" s="197"/>
      <c r="F19" s="197"/>
      <c r="G19" s="198" t="s">
        <v>396</v>
      </c>
      <c r="H19" s="198"/>
      <c r="I19" s="198"/>
      <c r="J19" s="198"/>
      <c r="K19" s="198"/>
      <c r="L19" s="198"/>
      <c r="M19" s="198"/>
      <c r="N19" s="198"/>
      <c r="O19" s="198"/>
      <c r="P19" s="199">
        <v>52</v>
      </c>
      <c r="Q19" s="199"/>
      <c r="R19" s="199"/>
      <c r="S19" s="199"/>
      <c r="T19" s="199">
        <v>0</v>
      </c>
      <c r="U19" s="199"/>
      <c r="V19" s="199"/>
      <c r="W19" s="199">
        <v>7.5</v>
      </c>
      <c r="X19" s="199"/>
      <c r="Y19" s="199"/>
      <c r="Z19" s="201">
        <f t="shared" si="0"/>
        <v>7.5</v>
      </c>
      <c r="AA19" s="201"/>
      <c r="AB19" s="201"/>
      <c r="AC19" s="201" t="s">
        <v>426</v>
      </c>
      <c r="AD19" s="201"/>
      <c r="AE19" s="201"/>
    </row>
    <row r="20" spans="1:31" s="13" customFormat="1" ht="49.5" customHeight="1" x14ac:dyDescent="0.2">
      <c r="A20" s="94">
        <v>14</v>
      </c>
      <c r="B20" s="113" t="s">
        <v>506</v>
      </c>
      <c r="C20" s="197" t="s">
        <v>426</v>
      </c>
      <c r="D20" s="197"/>
      <c r="E20" s="197"/>
      <c r="F20" s="197"/>
      <c r="G20" s="207" t="s">
        <v>410</v>
      </c>
      <c r="H20" s="198"/>
      <c r="I20" s="198"/>
      <c r="J20" s="198"/>
      <c r="K20" s="198"/>
      <c r="L20" s="198"/>
      <c r="M20" s="198"/>
      <c r="N20" s="198"/>
      <c r="O20" s="198"/>
      <c r="P20" s="199">
        <v>630.5</v>
      </c>
      <c r="Q20" s="199"/>
      <c r="R20" s="199"/>
      <c r="S20" s="199"/>
      <c r="T20" s="199">
        <v>200</v>
      </c>
      <c r="U20" s="199"/>
      <c r="V20" s="199"/>
      <c r="W20" s="199">
        <v>354.1</v>
      </c>
      <c r="X20" s="199"/>
      <c r="Y20" s="199"/>
      <c r="Z20" s="201">
        <f t="shared" si="0"/>
        <v>154.10000000000002</v>
      </c>
      <c r="AA20" s="201"/>
      <c r="AB20" s="201"/>
      <c r="AC20" s="201">
        <f t="shared" si="1"/>
        <v>1.7705000000000002</v>
      </c>
      <c r="AD20" s="201"/>
      <c r="AE20" s="201"/>
    </row>
    <row r="21" spans="1:31" s="13" customFormat="1" ht="21" customHeight="1" x14ac:dyDescent="0.2">
      <c r="A21" s="94">
        <v>15</v>
      </c>
      <c r="B21" s="113" t="s">
        <v>411</v>
      </c>
      <c r="C21" s="197" t="s">
        <v>426</v>
      </c>
      <c r="D21" s="197"/>
      <c r="E21" s="197"/>
      <c r="F21" s="197"/>
      <c r="G21" s="198" t="s">
        <v>396</v>
      </c>
      <c r="H21" s="198"/>
      <c r="I21" s="198"/>
      <c r="J21" s="198"/>
      <c r="K21" s="198"/>
      <c r="L21" s="198"/>
      <c r="M21" s="198"/>
      <c r="N21" s="198"/>
      <c r="O21" s="198"/>
      <c r="P21" s="199">
        <v>34.700000000000003</v>
      </c>
      <c r="Q21" s="199"/>
      <c r="R21" s="199"/>
      <c r="S21" s="199"/>
      <c r="T21" s="204">
        <v>43</v>
      </c>
      <c r="U21" s="205"/>
      <c r="V21" s="205"/>
      <c r="W21" s="199">
        <v>32.200000000000003</v>
      </c>
      <c r="X21" s="199"/>
      <c r="Y21" s="199"/>
      <c r="Z21" s="201">
        <f t="shared" si="0"/>
        <v>-10.799999999999997</v>
      </c>
      <c r="AA21" s="201"/>
      <c r="AB21" s="201"/>
      <c r="AC21" s="201">
        <f>W21/T21</f>
        <v>0.74883720930232567</v>
      </c>
      <c r="AD21" s="201"/>
      <c r="AE21" s="201"/>
    </row>
    <row r="22" spans="1:31" s="13" customFormat="1" ht="28.5" customHeight="1" x14ac:dyDescent="0.2">
      <c r="A22" s="94">
        <v>16</v>
      </c>
      <c r="B22" s="113" t="s">
        <v>412</v>
      </c>
      <c r="C22" s="197" t="s">
        <v>426</v>
      </c>
      <c r="D22" s="197"/>
      <c r="E22" s="197"/>
      <c r="F22" s="197"/>
      <c r="G22" s="195" t="s">
        <v>396</v>
      </c>
      <c r="H22" s="202"/>
      <c r="I22" s="202"/>
      <c r="J22" s="202"/>
      <c r="K22" s="202"/>
      <c r="L22" s="202"/>
      <c r="M22" s="202"/>
      <c r="N22" s="202"/>
      <c r="O22" s="203"/>
      <c r="P22" s="204">
        <v>2.2999999999999998</v>
      </c>
      <c r="Q22" s="205"/>
      <c r="R22" s="205"/>
      <c r="S22" s="206"/>
      <c r="T22" s="204">
        <v>0</v>
      </c>
      <c r="U22" s="205"/>
      <c r="V22" s="205"/>
      <c r="W22" s="204">
        <v>0.8</v>
      </c>
      <c r="X22" s="205"/>
      <c r="Y22" s="206"/>
      <c r="Z22" s="208">
        <f t="shared" si="0"/>
        <v>0.8</v>
      </c>
      <c r="AA22" s="209"/>
      <c r="AB22" s="210"/>
      <c r="AC22" s="201" t="s">
        <v>426</v>
      </c>
      <c r="AD22" s="201"/>
      <c r="AE22" s="201"/>
    </row>
    <row r="23" spans="1:31" s="13" customFormat="1" ht="21" customHeight="1" x14ac:dyDescent="0.2">
      <c r="A23" s="94">
        <v>17</v>
      </c>
      <c r="B23" s="113" t="s">
        <v>413</v>
      </c>
      <c r="C23" s="197" t="s">
        <v>426</v>
      </c>
      <c r="D23" s="197"/>
      <c r="E23" s="197"/>
      <c r="F23" s="197"/>
      <c r="G23" s="195" t="s">
        <v>396</v>
      </c>
      <c r="H23" s="202"/>
      <c r="I23" s="202"/>
      <c r="J23" s="202"/>
      <c r="K23" s="202"/>
      <c r="L23" s="202"/>
      <c r="M23" s="202"/>
      <c r="N23" s="202"/>
      <c r="O23" s="203"/>
      <c r="P23" s="204">
        <v>27.7</v>
      </c>
      <c r="Q23" s="205"/>
      <c r="R23" s="205"/>
      <c r="S23" s="206"/>
      <c r="T23" s="204">
        <v>30.3</v>
      </c>
      <c r="U23" s="205"/>
      <c r="V23" s="205"/>
      <c r="W23" s="204">
        <v>5.2</v>
      </c>
      <c r="X23" s="205"/>
      <c r="Y23" s="206"/>
      <c r="Z23" s="208">
        <f t="shared" si="0"/>
        <v>-25.1</v>
      </c>
      <c r="AA23" s="209"/>
      <c r="AB23" s="210"/>
      <c r="AC23" s="201">
        <f>W23/T23</f>
        <v>0.17161716171617161</v>
      </c>
      <c r="AD23" s="201"/>
      <c r="AE23" s="201"/>
    </row>
    <row r="24" spans="1:31" s="13" customFormat="1" ht="21" customHeight="1" x14ac:dyDescent="0.2">
      <c r="A24" s="94">
        <v>18</v>
      </c>
      <c r="B24" s="113" t="s">
        <v>578</v>
      </c>
      <c r="C24" s="197" t="s">
        <v>426</v>
      </c>
      <c r="D24" s="197"/>
      <c r="E24" s="197"/>
      <c r="F24" s="197"/>
      <c r="G24" s="195" t="s">
        <v>396</v>
      </c>
      <c r="H24" s="202"/>
      <c r="I24" s="202"/>
      <c r="J24" s="202"/>
      <c r="K24" s="202"/>
      <c r="L24" s="202"/>
      <c r="M24" s="202"/>
      <c r="N24" s="202"/>
      <c r="O24" s="203"/>
      <c r="P24" s="204">
        <v>0.6</v>
      </c>
      <c r="Q24" s="205"/>
      <c r="R24" s="205"/>
      <c r="S24" s="206"/>
      <c r="T24" s="204">
        <v>0</v>
      </c>
      <c r="U24" s="205"/>
      <c r="V24" s="205"/>
      <c r="W24" s="204">
        <v>0.8</v>
      </c>
      <c r="X24" s="205"/>
      <c r="Y24" s="206"/>
      <c r="Z24" s="208">
        <f t="shared" ref="Z24:Z29" si="2">W24-T24</f>
        <v>0.8</v>
      </c>
      <c r="AA24" s="209"/>
      <c r="AB24" s="210"/>
      <c r="AC24" s="201" t="s">
        <v>426</v>
      </c>
      <c r="AD24" s="201"/>
      <c r="AE24" s="201"/>
    </row>
    <row r="25" spans="1:31" s="13" customFormat="1" ht="21" customHeight="1" x14ac:dyDescent="0.2">
      <c r="A25" s="94">
        <v>19</v>
      </c>
      <c r="B25" s="113" t="s">
        <v>505</v>
      </c>
      <c r="C25" s="197" t="s">
        <v>426</v>
      </c>
      <c r="D25" s="197"/>
      <c r="E25" s="197"/>
      <c r="F25" s="197"/>
      <c r="G25" s="195" t="s">
        <v>396</v>
      </c>
      <c r="H25" s="202"/>
      <c r="I25" s="202"/>
      <c r="J25" s="202"/>
      <c r="K25" s="202"/>
      <c r="L25" s="202"/>
      <c r="M25" s="202"/>
      <c r="N25" s="202"/>
      <c r="O25" s="203"/>
      <c r="P25" s="204">
        <v>19.3</v>
      </c>
      <c r="Q25" s="205"/>
      <c r="R25" s="205"/>
      <c r="S25" s="206"/>
      <c r="T25" s="204">
        <v>37</v>
      </c>
      <c r="U25" s="205"/>
      <c r="V25" s="205"/>
      <c r="W25" s="204">
        <v>30.6</v>
      </c>
      <c r="X25" s="205"/>
      <c r="Y25" s="206"/>
      <c r="Z25" s="208">
        <f t="shared" si="2"/>
        <v>-6.3999999999999986</v>
      </c>
      <c r="AA25" s="209"/>
      <c r="AB25" s="210"/>
      <c r="AC25" s="201">
        <f>W25/T25</f>
        <v>0.82702702702702702</v>
      </c>
      <c r="AD25" s="201"/>
      <c r="AE25" s="201"/>
    </row>
    <row r="26" spans="1:31" s="13" customFormat="1" ht="21" customHeight="1" x14ac:dyDescent="0.2">
      <c r="A26" s="94">
        <v>20</v>
      </c>
      <c r="B26" s="113" t="s">
        <v>559</v>
      </c>
      <c r="C26" s="197" t="s">
        <v>426</v>
      </c>
      <c r="D26" s="197"/>
      <c r="E26" s="197"/>
      <c r="F26" s="197"/>
      <c r="G26" s="195" t="s">
        <v>396</v>
      </c>
      <c r="H26" s="202"/>
      <c r="I26" s="202"/>
      <c r="J26" s="202"/>
      <c r="K26" s="202"/>
      <c r="L26" s="202"/>
      <c r="M26" s="202"/>
      <c r="N26" s="202"/>
      <c r="O26" s="203"/>
      <c r="P26" s="204">
        <v>0</v>
      </c>
      <c r="Q26" s="205"/>
      <c r="R26" s="205"/>
      <c r="S26" s="206"/>
      <c r="T26" s="204">
        <v>0</v>
      </c>
      <c r="U26" s="205"/>
      <c r="V26" s="205"/>
      <c r="W26" s="204">
        <v>41.4</v>
      </c>
      <c r="X26" s="205"/>
      <c r="Y26" s="206"/>
      <c r="Z26" s="208">
        <f t="shared" si="2"/>
        <v>41.4</v>
      </c>
      <c r="AA26" s="209"/>
      <c r="AB26" s="210"/>
      <c r="AC26" s="201" t="s">
        <v>426</v>
      </c>
      <c r="AD26" s="201"/>
      <c r="AE26" s="201"/>
    </row>
    <row r="27" spans="1:31" s="13" customFormat="1" ht="21" customHeight="1" x14ac:dyDescent="0.2">
      <c r="A27" s="94">
        <v>21</v>
      </c>
      <c r="B27" s="113" t="s">
        <v>603</v>
      </c>
      <c r="C27" s="197" t="s">
        <v>426</v>
      </c>
      <c r="D27" s="197"/>
      <c r="E27" s="197"/>
      <c r="F27" s="197"/>
      <c r="G27" s="195" t="s">
        <v>396</v>
      </c>
      <c r="H27" s="202"/>
      <c r="I27" s="202"/>
      <c r="J27" s="202"/>
      <c r="K27" s="202"/>
      <c r="L27" s="202"/>
      <c r="M27" s="202"/>
      <c r="N27" s="202"/>
      <c r="O27" s="203"/>
      <c r="P27" s="204">
        <v>0</v>
      </c>
      <c r="Q27" s="205"/>
      <c r="R27" s="205"/>
      <c r="S27" s="206"/>
      <c r="T27" s="204">
        <v>0</v>
      </c>
      <c r="U27" s="205"/>
      <c r="V27" s="205"/>
      <c r="W27" s="204">
        <v>92.1</v>
      </c>
      <c r="X27" s="205"/>
      <c r="Y27" s="206"/>
      <c r="Z27" s="208">
        <f t="shared" si="2"/>
        <v>92.1</v>
      </c>
      <c r="AA27" s="209"/>
      <c r="AB27" s="210"/>
      <c r="AC27" s="201" t="s">
        <v>426</v>
      </c>
      <c r="AD27" s="201"/>
      <c r="AE27" s="201"/>
    </row>
    <row r="28" spans="1:31" s="13" customFormat="1" ht="21" customHeight="1" x14ac:dyDescent="0.2">
      <c r="A28" s="94">
        <v>22</v>
      </c>
      <c r="B28" s="113" t="s">
        <v>297</v>
      </c>
      <c r="C28" s="197" t="s">
        <v>426</v>
      </c>
      <c r="D28" s="197"/>
      <c r="E28" s="197"/>
      <c r="F28" s="197"/>
      <c r="G28" s="195" t="s">
        <v>396</v>
      </c>
      <c r="H28" s="202"/>
      <c r="I28" s="202"/>
      <c r="J28" s="202"/>
      <c r="K28" s="202"/>
      <c r="L28" s="202"/>
      <c r="M28" s="202"/>
      <c r="N28" s="202"/>
      <c r="O28" s="203"/>
      <c r="P28" s="204">
        <v>0.6</v>
      </c>
      <c r="Q28" s="205"/>
      <c r="R28" s="205"/>
      <c r="S28" s="206"/>
      <c r="T28" s="204">
        <v>16</v>
      </c>
      <c r="U28" s="205"/>
      <c r="V28" s="205"/>
      <c r="W28" s="204">
        <v>0</v>
      </c>
      <c r="X28" s="205"/>
      <c r="Y28" s="206"/>
      <c r="Z28" s="208">
        <f t="shared" si="2"/>
        <v>-16</v>
      </c>
      <c r="AA28" s="209"/>
      <c r="AB28" s="210"/>
      <c r="AC28" s="201">
        <f>W28/T28</f>
        <v>0</v>
      </c>
      <c r="AD28" s="201"/>
      <c r="AE28" s="201"/>
    </row>
    <row r="29" spans="1:31" s="13" customFormat="1" ht="19.5" customHeight="1" x14ac:dyDescent="0.2">
      <c r="A29" s="192" t="s">
        <v>94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201">
        <f>SUM(P7:S28)</f>
        <v>1746.7999999999997</v>
      </c>
      <c r="Q29" s="201"/>
      <c r="R29" s="201"/>
      <c r="S29" s="201"/>
      <c r="T29" s="208">
        <f>SUM(T7:V28)</f>
        <v>1115</v>
      </c>
      <c r="U29" s="208"/>
      <c r="V29" s="208"/>
      <c r="W29" s="199">
        <f>SUM(W7:Y28)</f>
        <v>1065.2</v>
      </c>
      <c r="X29" s="199"/>
      <c r="Y29" s="199"/>
      <c r="Z29" s="201">
        <f t="shared" si="2"/>
        <v>-49.799999999999955</v>
      </c>
      <c r="AA29" s="201"/>
      <c r="AB29" s="201"/>
      <c r="AC29" s="201">
        <f>W29/T29</f>
        <v>0.95533632286995518</v>
      </c>
      <c r="AD29" s="201"/>
      <c r="AE29" s="201"/>
    </row>
    <row r="30" spans="1:31" s="13" customFormat="1" ht="28.5" customHeight="1" x14ac:dyDescent="0.2"/>
    <row r="31" spans="1:31" s="13" customFormat="1" ht="16.5" customHeight="1" x14ac:dyDescent="0.2">
      <c r="B31" s="191" t="s">
        <v>414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</row>
    <row r="32" spans="1:31" s="13" customFormat="1" ht="16.5" customHeight="1" x14ac:dyDescent="0.2"/>
    <row r="33" spans="1:31" s="13" customFormat="1" ht="12.95" customHeight="1" x14ac:dyDescent="0.2">
      <c r="A33" s="145" t="s">
        <v>385</v>
      </c>
      <c r="B33" s="145" t="s">
        <v>415</v>
      </c>
      <c r="C33" s="145" t="s">
        <v>386</v>
      </c>
      <c r="D33" s="145"/>
      <c r="E33" s="145"/>
      <c r="F33" s="145"/>
      <c r="G33" s="145" t="s">
        <v>388</v>
      </c>
      <c r="H33" s="145"/>
      <c r="I33" s="145"/>
      <c r="J33" s="145"/>
      <c r="K33" s="145"/>
      <c r="L33" s="145"/>
      <c r="M33" s="145"/>
      <c r="N33" s="145"/>
      <c r="O33" s="145"/>
      <c r="P33" s="145"/>
      <c r="Q33" s="145" t="s">
        <v>416</v>
      </c>
      <c r="R33" s="145"/>
      <c r="S33" s="145"/>
      <c r="T33" s="145"/>
      <c r="U33" s="145"/>
      <c r="V33" s="145" t="s">
        <v>389</v>
      </c>
      <c r="W33" s="145"/>
      <c r="X33" s="145"/>
      <c r="Y33" s="145"/>
      <c r="Z33" s="145"/>
      <c r="AA33" s="145"/>
      <c r="AB33" s="145" t="s">
        <v>390</v>
      </c>
      <c r="AC33" s="145"/>
      <c r="AD33" s="145" t="s">
        <v>391</v>
      </c>
      <c r="AE33" s="145"/>
    </row>
    <row r="34" spans="1:31" s="13" customFormat="1" ht="51" customHeight="1" x14ac:dyDescent="0.2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 t="s">
        <v>392</v>
      </c>
      <c r="W34" s="145"/>
      <c r="X34" s="145" t="s">
        <v>393</v>
      </c>
      <c r="Y34" s="145"/>
      <c r="Z34" s="145" t="s">
        <v>394</v>
      </c>
      <c r="AA34" s="145"/>
      <c r="AB34" s="145"/>
      <c r="AC34" s="145"/>
      <c r="AD34" s="145"/>
      <c r="AE34" s="145"/>
    </row>
    <row r="35" spans="1:31" s="13" customFormat="1" ht="17.25" customHeight="1" x14ac:dyDescent="0.2">
      <c r="A35" s="84">
        <v>1</v>
      </c>
      <c r="B35" s="84">
        <v>2</v>
      </c>
      <c r="C35" s="162">
        <v>3</v>
      </c>
      <c r="D35" s="162"/>
      <c r="E35" s="162"/>
      <c r="F35" s="162"/>
      <c r="G35" s="162">
        <v>4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>
        <v>5</v>
      </c>
      <c r="R35" s="162"/>
      <c r="S35" s="162"/>
      <c r="T35" s="162"/>
      <c r="U35" s="162"/>
      <c r="V35" s="162">
        <v>6</v>
      </c>
      <c r="W35" s="162"/>
      <c r="X35" s="162">
        <v>7</v>
      </c>
      <c r="Y35" s="162"/>
      <c r="Z35" s="162">
        <v>8</v>
      </c>
      <c r="AA35" s="162"/>
      <c r="AB35" s="162">
        <v>9</v>
      </c>
      <c r="AC35" s="162"/>
      <c r="AD35" s="162">
        <v>10</v>
      </c>
      <c r="AE35" s="162"/>
    </row>
    <row r="36" spans="1:31" s="13" customFormat="1" ht="17.25" customHeight="1" x14ac:dyDescent="0.2">
      <c r="A36" s="84">
        <v>1</v>
      </c>
      <c r="B36" s="79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9">
        <v>0</v>
      </c>
      <c r="W36" s="149"/>
      <c r="X36" s="145" t="s">
        <v>51</v>
      </c>
      <c r="Y36" s="145"/>
      <c r="Z36" s="145" t="s">
        <v>51</v>
      </c>
      <c r="AA36" s="145"/>
      <c r="AB36" s="145" t="s">
        <v>51</v>
      </c>
      <c r="AC36" s="145"/>
      <c r="AD36" s="145" t="s">
        <v>51</v>
      </c>
      <c r="AE36" s="145"/>
    </row>
    <row r="37" spans="1:31" s="13" customFormat="1" ht="17.25" customHeight="1" x14ac:dyDescent="0.2">
      <c r="A37" s="79"/>
      <c r="B37" s="79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 t="s">
        <v>51</v>
      </c>
      <c r="W37" s="145"/>
      <c r="X37" s="145" t="s">
        <v>51</v>
      </c>
      <c r="Y37" s="145"/>
      <c r="Z37" s="145" t="s">
        <v>51</v>
      </c>
      <c r="AA37" s="145"/>
      <c r="AB37" s="145" t="s">
        <v>51</v>
      </c>
      <c r="AC37" s="145"/>
      <c r="AD37" s="145" t="s">
        <v>51</v>
      </c>
      <c r="AE37" s="145"/>
    </row>
    <row r="38" spans="1:31" s="13" customFormat="1" ht="17.25" customHeight="1" x14ac:dyDescent="0.2">
      <c r="A38" s="145" t="s">
        <v>94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 t="s">
        <v>51</v>
      </c>
      <c r="W38" s="145"/>
      <c r="X38" s="145" t="s">
        <v>51</v>
      </c>
      <c r="Y38" s="145"/>
      <c r="Z38" s="145" t="s">
        <v>51</v>
      </c>
      <c r="AA38" s="145"/>
      <c r="AB38" s="145" t="s">
        <v>51</v>
      </c>
      <c r="AC38" s="145"/>
      <c r="AD38" s="145" t="s">
        <v>51</v>
      </c>
      <c r="AE38" s="145"/>
    </row>
    <row r="39" spans="1:31" s="13" customFormat="1" ht="0.75" customHeight="1" x14ac:dyDescent="0.2"/>
    <row r="40" spans="1:31" s="13" customFormat="1" ht="65.25" customHeight="1" x14ac:dyDescent="0.2"/>
    <row r="41" spans="1:31" s="29" customFormat="1" ht="24.75" customHeight="1" x14ac:dyDescent="0.2">
      <c r="B41" s="191" t="s">
        <v>417</v>
      </c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</row>
    <row r="42" spans="1:31" s="13" customFormat="1" ht="10.5" customHeight="1" x14ac:dyDescent="0.2">
      <c r="AC42" s="114" t="s">
        <v>418</v>
      </c>
      <c r="AD42" s="114"/>
      <c r="AE42" s="114"/>
    </row>
    <row r="43" spans="1:31" s="13" customFormat="1" ht="12.95" customHeight="1" x14ac:dyDescent="0.2">
      <c r="A43" s="192" t="s">
        <v>385</v>
      </c>
      <c r="B43" s="192" t="s">
        <v>419</v>
      </c>
      <c r="C43" s="192"/>
      <c r="D43" s="192"/>
      <c r="E43" s="192"/>
      <c r="F43" s="192"/>
      <c r="G43" s="192"/>
      <c r="H43" s="192"/>
      <c r="I43" s="192"/>
      <c r="J43" s="192"/>
      <c r="K43" s="192"/>
      <c r="L43" s="195" t="s">
        <v>420</v>
      </c>
      <c r="M43" s="195"/>
      <c r="N43" s="195"/>
      <c r="O43" s="195"/>
      <c r="P43" s="195" t="s">
        <v>421</v>
      </c>
      <c r="Q43" s="195"/>
      <c r="R43" s="195"/>
      <c r="S43" s="195"/>
      <c r="T43" s="195" t="s">
        <v>422</v>
      </c>
      <c r="U43" s="195"/>
      <c r="V43" s="195"/>
      <c r="W43" s="195"/>
      <c r="X43" s="195" t="s">
        <v>423</v>
      </c>
      <c r="Y43" s="195"/>
      <c r="Z43" s="195"/>
      <c r="AA43" s="195"/>
      <c r="AB43" s="192" t="s">
        <v>94</v>
      </c>
      <c r="AC43" s="192"/>
      <c r="AD43" s="192"/>
      <c r="AE43" s="192"/>
    </row>
    <row r="44" spans="1:31" s="13" customFormat="1" ht="38.1" customHeight="1" x14ac:dyDescent="0.2">
      <c r="A44" s="192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92" t="s">
        <v>45</v>
      </c>
      <c r="M44" s="92" t="s">
        <v>46</v>
      </c>
      <c r="N44" s="92" t="s">
        <v>47</v>
      </c>
      <c r="O44" s="92" t="s">
        <v>48</v>
      </c>
      <c r="P44" s="92" t="s">
        <v>45</v>
      </c>
      <c r="Q44" s="92" t="s">
        <v>46</v>
      </c>
      <c r="R44" s="92" t="s">
        <v>47</v>
      </c>
      <c r="S44" s="92" t="s">
        <v>48</v>
      </c>
      <c r="T44" s="92" t="s">
        <v>45</v>
      </c>
      <c r="U44" s="92" t="s">
        <v>46</v>
      </c>
      <c r="V44" s="92" t="s">
        <v>47</v>
      </c>
      <c r="W44" s="92" t="s">
        <v>48</v>
      </c>
      <c r="X44" s="92" t="s">
        <v>45</v>
      </c>
      <c r="Y44" s="92" t="s">
        <v>46</v>
      </c>
      <c r="Z44" s="92" t="s">
        <v>47</v>
      </c>
      <c r="AA44" s="92" t="s">
        <v>48</v>
      </c>
      <c r="AB44" s="92" t="s">
        <v>45</v>
      </c>
      <c r="AC44" s="92" t="s">
        <v>46</v>
      </c>
      <c r="AD44" s="92" t="s">
        <v>47</v>
      </c>
      <c r="AE44" s="92" t="s">
        <v>48</v>
      </c>
    </row>
    <row r="45" spans="1:31" s="13" customFormat="1" ht="17.25" customHeight="1" x14ac:dyDescent="0.2">
      <c r="A45" s="94">
        <v>1</v>
      </c>
      <c r="B45" s="193">
        <v>2</v>
      </c>
      <c r="C45" s="193"/>
      <c r="D45" s="193"/>
      <c r="E45" s="193"/>
      <c r="F45" s="193"/>
      <c r="G45" s="193"/>
      <c r="H45" s="193"/>
      <c r="I45" s="193"/>
      <c r="J45" s="193"/>
      <c r="K45" s="193"/>
      <c r="L45" s="94">
        <v>3</v>
      </c>
      <c r="M45" s="94">
        <v>4</v>
      </c>
      <c r="N45" s="94">
        <v>5</v>
      </c>
      <c r="O45" s="94">
        <v>6</v>
      </c>
      <c r="P45" s="94">
        <v>7</v>
      </c>
      <c r="Q45" s="94">
        <v>8</v>
      </c>
      <c r="R45" s="94">
        <v>9</v>
      </c>
      <c r="S45" s="94">
        <v>10</v>
      </c>
      <c r="T45" s="94">
        <v>11</v>
      </c>
      <c r="U45" s="94">
        <v>12</v>
      </c>
      <c r="V45" s="94">
        <v>13</v>
      </c>
      <c r="W45" s="94">
        <v>14</v>
      </c>
      <c r="X45" s="94">
        <v>15</v>
      </c>
      <c r="Y45" s="94">
        <v>16</v>
      </c>
      <c r="Z45" s="94">
        <v>17</v>
      </c>
      <c r="AA45" s="94">
        <v>18</v>
      </c>
      <c r="AB45" s="94">
        <v>19</v>
      </c>
      <c r="AC45" s="94">
        <v>20</v>
      </c>
      <c r="AD45" s="94">
        <v>21</v>
      </c>
      <c r="AE45" s="94">
        <v>22</v>
      </c>
    </row>
    <row r="46" spans="1:31" s="13" customFormat="1" ht="17.25" customHeight="1" x14ac:dyDescent="0.2">
      <c r="A46" s="92" t="s">
        <v>424</v>
      </c>
      <c r="B46" s="211" t="s">
        <v>425</v>
      </c>
      <c r="C46" s="212"/>
      <c r="D46" s="212"/>
      <c r="E46" s="212"/>
      <c r="F46" s="212"/>
      <c r="G46" s="212"/>
      <c r="H46" s="212"/>
      <c r="I46" s="212"/>
      <c r="J46" s="212"/>
      <c r="K46" s="212"/>
      <c r="L46" s="92" t="s">
        <v>426</v>
      </c>
      <c r="M46" s="92" t="s">
        <v>426</v>
      </c>
      <c r="N46" s="92" t="s">
        <v>426</v>
      </c>
      <c r="O46" s="92" t="s">
        <v>426</v>
      </c>
      <c r="P46" s="92" t="s">
        <v>426</v>
      </c>
      <c r="Q46" s="92" t="s">
        <v>426</v>
      </c>
      <c r="R46" s="92" t="s">
        <v>426</v>
      </c>
      <c r="S46" s="92" t="s">
        <v>426</v>
      </c>
      <c r="T46" s="95">
        <v>5000</v>
      </c>
      <c r="U46" s="95">
        <f>SUM(U47:U47)</f>
        <v>0</v>
      </c>
      <c r="V46" s="95">
        <f>U46-T46</f>
        <v>-5000</v>
      </c>
      <c r="W46" s="95" t="s">
        <v>426</v>
      </c>
      <c r="X46" s="95" t="s">
        <v>426</v>
      </c>
      <c r="Y46" s="95" t="s">
        <v>426</v>
      </c>
      <c r="Z46" s="95" t="s">
        <v>426</v>
      </c>
      <c r="AA46" s="95" t="s">
        <v>426</v>
      </c>
      <c r="AB46" s="95">
        <v>0</v>
      </c>
      <c r="AC46" s="95">
        <f>SUM(AC47:AC47)</f>
        <v>0</v>
      </c>
      <c r="AD46" s="95">
        <f>AC46-AB46</f>
        <v>0</v>
      </c>
      <c r="AE46" s="95" t="s">
        <v>426</v>
      </c>
    </row>
    <row r="47" spans="1:31" s="13" customFormat="1" ht="17.25" customHeight="1" x14ac:dyDescent="0.2">
      <c r="A47" s="94">
        <v>1</v>
      </c>
      <c r="B47" s="212" t="s">
        <v>427</v>
      </c>
      <c r="C47" s="212"/>
      <c r="D47" s="212"/>
      <c r="E47" s="212"/>
      <c r="F47" s="212"/>
      <c r="G47" s="212"/>
      <c r="H47" s="212"/>
      <c r="I47" s="212"/>
      <c r="J47" s="212"/>
      <c r="K47" s="212"/>
      <c r="L47" s="92" t="s">
        <v>426</v>
      </c>
      <c r="M47" s="92" t="s">
        <v>426</v>
      </c>
      <c r="N47" s="92" t="s">
        <v>426</v>
      </c>
      <c r="O47" s="92" t="s">
        <v>426</v>
      </c>
      <c r="P47" s="92" t="s">
        <v>426</v>
      </c>
      <c r="Q47" s="92" t="s">
        <v>426</v>
      </c>
      <c r="R47" s="92" t="s">
        <v>426</v>
      </c>
      <c r="S47" s="92" t="s">
        <v>426</v>
      </c>
      <c r="T47" s="95">
        <v>5000</v>
      </c>
      <c r="U47" s="95">
        <v>0</v>
      </c>
      <c r="V47" s="95">
        <f>U47-T47</f>
        <v>-5000</v>
      </c>
      <c r="W47" s="95" t="s">
        <v>426</v>
      </c>
      <c r="X47" s="95" t="s">
        <v>426</v>
      </c>
      <c r="Y47" s="95" t="s">
        <v>426</v>
      </c>
      <c r="Z47" s="95" t="s">
        <v>426</v>
      </c>
      <c r="AA47" s="95" t="s">
        <v>426</v>
      </c>
      <c r="AB47" s="95">
        <v>0</v>
      </c>
      <c r="AC47" s="95">
        <v>0</v>
      </c>
      <c r="AD47" s="95">
        <f>AC47-AB47</f>
        <v>0</v>
      </c>
      <c r="AE47" s="95" t="s">
        <v>426</v>
      </c>
    </row>
    <row r="48" spans="1:31" s="13" customFormat="1" ht="17.25" customHeight="1" x14ac:dyDescent="0.2">
      <c r="A48" s="92" t="s">
        <v>428</v>
      </c>
      <c r="B48" s="211" t="s">
        <v>429</v>
      </c>
      <c r="C48" s="212"/>
      <c r="D48" s="212"/>
      <c r="E48" s="212"/>
      <c r="F48" s="212"/>
      <c r="G48" s="212"/>
      <c r="H48" s="212"/>
      <c r="I48" s="212"/>
      <c r="J48" s="212"/>
      <c r="K48" s="212"/>
      <c r="L48" s="92" t="s">
        <v>426</v>
      </c>
      <c r="M48" s="92" t="s">
        <v>426</v>
      </c>
      <c r="N48" s="92" t="s">
        <v>426</v>
      </c>
      <c r="O48" s="92" t="s">
        <v>426</v>
      </c>
      <c r="P48" s="92" t="s">
        <v>426</v>
      </c>
      <c r="Q48" s="92" t="s">
        <v>426</v>
      </c>
      <c r="R48" s="92" t="s">
        <v>426</v>
      </c>
      <c r="S48" s="92" t="s">
        <v>426</v>
      </c>
      <c r="T48" s="95">
        <f>SUM(T49:T52)</f>
        <v>10940</v>
      </c>
      <c r="U48" s="95">
        <f>SUM(U49:U52)</f>
        <v>4779</v>
      </c>
      <c r="V48" s="95">
        <f>U48-T48</f>
        <v>-6161</v>
      </c>
      <c r="W48" s="95">
        <f>U48/T48*100</f>
        <v>43.683729433272397</v>
      </c>
      <c r="X48" s="95" t="s">
        <v>426</v>
      </c>
      <c r="Y48" s="95" t="s">
        <v>426</v>
      </c>
      <c r="Z48" s="95" t="s">
        <v>426</v>
      </c>
      <c r="AA48" s="95" t="s">
        <v>426</v>
      </c>
      <c r="AB48" s="95">
        <f>SUM(AB49:AB52)</f>
        <v>10940</v>
      </c>
      <c r="AC48" s="95">
        <f>SUM(AC49:AC52)</f>
        <v>4779</v>
      </c>
      <c r="AD48" s="95">
        <f>AC48-AB48</f>
        <v>-6161</v>
      </c>
      <c r="AE48" s="95">
        <f>AC48/AB48*100</f>
        <v>43.683729433272397</v>
      </c>
    </row>
    <row r="49" spans="1:31" s="13" customFormat="1" ht="17.25" customHeight="1" x14ac:dyDescent="0.2">
      <c r="A49" s="94">
        <v>1</v>
      </c>
      <c r="B49" s="212" t="s">
        <v>430</v>
      </c>
      <c r="C49" s="212"/>
      <c r="D49" s="212"/>
      <c r="E49" s="212"/>
      <c r="F49" s="212"/>
      <c r="G49" s="212"/>
      <c r="H49" s="212"/>
      <c r="I49" s="212"/>
      <c r="J49" s="212"/>
      <c r="K49" s="212"/>
      <c r="L49" s="92" t="s">
        <v>426</v>
      </c>
      <c r="M49" s="92" t="s">
        <v>426</v>
      </c>
      <c r="N49" s="92" t="s">
        <v>426</v>
      </c>
      <c r="O49" s="92" t="s">
        <v>426</v>
      </c>
      <c r="P49" s="92" t="s">
        <v>426</v>
      </c>
      <c r="Q49" s="92" t="s">
        <v>426</v>
      </c>
      <c r="R49" s="92" t="s">
        <v>426</v>
      </c>
      <c r="S49" s="92" t="s">
        <v>426</v>
      </c>
      <c r="T49" s="95">
        <v>6210</v>
      </c>
      <c r="U49" s="95">
        <v>1241.5999999999999</v>
      </c>
      <c r="V49" s="95">
        <f t="shared" ref="V49:V55" si="3">U49-T49</f>
        <v>-4968.3999999999996</v>
      </c>
      <c r="W49" s="95">
        <f t="shared" ref="W49:W55" si="4">U49/T49*100</f>
        <v>19.993558776167468</v>
      </c>
      <c r="X49" s="95" t="s">
        <v>426</v>
      </c>
      <c r="Y49" s="95" t="s">
        <v>426</v>
      </c>
      <c r="Z49" s="95" t="s">
        <v>426</v>
      </c>
      <c r="AA49" s="95" t="s">
        <v>426</v>
      </c>
      <c r="AB49" s="95">
        <f>T49</f>
        <v>6210</v>
      </c>
      <c r="AC49" s="95">
        <f>U49</f>
        <v>1241.5999999999999</v>
      </c>
      <c r="AD49" s="95">
        <f>V49</f>
        <v>-4968.3999999999996</v>
      </c>
      <c r="AE49" s="95">
        <f>W49</f>
        <v>19.993558776167468</v>
      </c>
    </row>
    <row r="50" spans="1:31" s="13" customFormat="1" ht="17.25" customHeight="1" x14ac:dyDescent="0.2">
      <c r="A50" s="94">
        <v>2</v>
      </c>
      <c r="B50" s="212" t="s">
        <v>431</v>
      </c>
      <c r="C50" s="212"/>
      <c r="D50" s="212"/>
      <c r="E50" s="212"/>
      <c r="F50" s="212"/>
      <c r="G50" s="212"/>
      <c r="H50" s="212"/>
      <c r="I50" s="212"/>
      <c r="J50" s="212"/>
      <c r="K50" s="212"/>
      <c r="L50" s="92" t="s">
        <v>426</v>
      </c>
      <c r="M50" s="92" t="s">
        <v>426</v>
      </c>
      <c r="N50" s="92" t="s">
        <v>426</v>
      </c>
      <c r="O50" s="92" t="s">
        <v>426</v>
      </c>
      <c r="P50" s="92" t="s">
        <v>426</v>
      </c>
      <c r="Q50" s="92" t="s">
        <v>426</v>
      </c>
      <c r="R50" s="92" t="s">
        <v>426</v>
      </c>
      <c r="S50" s="92" t="s">
        <v>426</v>
      </c>
      <c r="T50" s="95">
        <v>1280</v>
      </c>
      <c r="U50" s="95">
        <v>192.8</v>
      </c>
      <c r="V50" s="95">
        <f t="shared" si="3"/>
        <v>-1087.2</v>
      </c>
      <c r="W50" s="95">
        <f t="shared" si="4"/>
        <v>15.0625</v>
      </c>
      <c r="X50" s="95" t="s">
        <v>426</v>
      </c>
      <c r="Y50" s="95" t="s">
        <v>426</v>
      </c>
      <c r="Z50" s="95" t="s">
        <v>426</v>
      </c>
      <c r="AA50" s="95" t="s">
        <v>426</v>
      </c>
      <c r="AB50" s="95">
        <f t="shared" ref="AB50:AB63" si="5">T50</f>
        <v>1280</v>
      </c>
      <c r="AC50" s="95">
        <f t="shared" ref="AC50:AC63" si="6">U50</f>
        <v>192.8</v>
      </c>
      <c r="AD50" s="95">
        <f t="shared" ref="AD50:AD63" si="7">V50</f>
        <v>-1087.2</v>
      </c>
      <c r="AE50" s="95">
        <f t="shared" ref="AE50:AE63" si="8">W50</f>
        <v>15.0625</v>
      </c>
    </row>
    <row r="51" spans="1:31" s="13" customFormat="1" ht="17.25" customHeight="1" x14ac:dyDescent="0.2">
      <c r="A51" s="94">
        <v>3</v>
      </c>
      <c r="B51" s="212" t="s">
        <v>432</v>
      </c>
      <c r="C51" s="212"/>
      <c r="D51" s="212"/>
      <c r="E51" s="212"/>
      <c r="F51" s="212"/>
      <c r="G51" s="212"/>
      <c r="H51" s="212"/>
      <c r="I51" s="212"/>
      <c r="J51" s="212"/>
      <c r="K51" s="212"/>
      <c r="L51" s="92" t="s">
        <v>426</v>
      </c>
      <c r="M51" s="92" t="s">
        <v>426</v>
      </c>
      <c r="N51" s="92" t="s">
        <v>426</v>
      </c>
      <c r="O51" s="92" t="s">
        <v>426</v>
      </c>
      <c r="P51" s="92" t="s">
        <v>426</v>
      </c>
      <c r="Q51" s="92" t="s">
        <v>426</v>
      </c>
      <c r="R51" s="92" t="s">
        <v>426</v>
      </c>
      <c r="S51" s="92" t="s">
        <v>426</v>
      </c>
      <c r="T51" s="95">
        <v>2500</v>
      </c>
      <c r="U51" s="95">
        <v>1899.5</v>
      </c>
      <c r="V51" s="95">
        <f t="shared" si="3"/>
        <v>-600.5</v>
      </c>
      <c r="W51" s="95">
        <f t="shared" si="4"/>
        <v>75.98</v>
      </c>
      <c r="X51" s="95" t="s">
        <v>426</v>
      </c>
      <c r="Y51" s="95" t="s">
        <v>426</v>
      </c>
      <c r="Z51" s="95" t="s">
        <v>426</v>
      </c>
      <c r="AA51" s="95" t="s">
        <v>426</v>
      </c>
      <c r="AB51" s="95">
        <f t="shared" si="5"/>
        <v>2500</v>
      </c>
      <c r="AC51" s="95">
        <f t="shared" si="6"/>
        <v>1899.5</v>
      </c>
      <c r="AD51" s="95">
        <f t="shared" si="7"/>
        <v>-600.5</v>
      </c>
      <c r="AE51" s="95">
        <f t="shared" si="8"/>
        <v>75.98</v>
      </c>
    </row>
    <row r="52" spans="1:31" s="13" customFormat="1" ht="17.25" customHeight="1" x14ac:dyDescent="0.2">
      <c r="A52" s="94">
        <v>4</v>
      </c>
      <c r="B52" s="211" t="s">
        <v>490</v>
      </c>
      <c r="C52" s="212"/>
      <c r="D52" s="212"/>
      <c r="E52" s="212"/>
      <c r="F52" s="212"/>
      <c r="G52" s="212"/>
      <c r="H52" s="212"/>
      <c r="I52" s="212"/>
      <c r="J52" s="212"/>
      <c r="K52" s="212"/>
      <c r="L52" s="92" t="s">
        <v>426</v>
      </c>
      <c r="M52" s="92" t="s">
        <v>426</v>
      </c>
      <c r="N52" s="92" t="s">
        <v>426</v>
      </c>
      <c r="O52" s="92" t="s">
        <v>426</v>
      </c>
      <c r="P52" s="92" t="s">
        <v>426</v>
      </c>
      <c r="Q52" s="92" t="s">
        <v>426</v>
      </c>
      <c r="R52" s="92" t="s">
        <v>426</v>
      </c>
      <c r="S52" s="92" t="s">
        <v>426</v>
      </c>
      <c r="T52" s="95">
        <v>950</v>
      </c>
      <c r="U52" s="95">
        <v>1445.1</v>
      </c>
      <c r="V52" s="95">
        <f t="shared" si="3"/>
        <v>495.09999999999991</v>
      </c>
      <c r="W52" s="95">
        <f t="shared" si="4"/>
        <v>152.1157894736842</v>
      </c>
      <c r="X52" s="95" t="s">
        <v>426</v>
      </c>
      <c r="Y52" s="95" t="s">
        <v>426</v>
      </c>
      <c r="Z52" s="95" t="s">
        <v>426</v>
      </c>
      <c r="AA52" s="95" t="s">
        <v>426</v>
      </c>
      <c r="AB52" s="95">
        <f t="shared" si="5"/>
        <v>950</v>
      </c>
      <c r="AC52" s="95">
        <f t="shared" si="6"/>
        <v>1445.1</v>
      </c>
      <c r="AD52" s="95">
        <f t="shared" si="7"/>
        <v>495.09999999999991</v>
      </c>
      <c r="AE52" s="95">
        <f t="shared" si="8"/>
        <v>152.1157894736842</v>
      </c>
    </row>
    <row r="53" spans="1:31" s="13" customFormat="1" ht="17.25" customHeight="1" x14ac:dyDescent="0.2">
      <c r="A53" s="92" t="s">
        <v>433</v>
      </c>
      <c r="B53" s="211" t="s">
        <v>434</v>
      </c>
      <c r="C53" s="212"/>
      <c r="D53" s="212"/>
      <c r="E53" s="212"/>
      <c r="F53" s="212"/>
      <c r="G53" s="212"/>
      <c r="H53" s="212"/>
      <c r="I53" s="212"/>
      <c r="J53" s="212"/>
      <c r="K53" s="212"/>
      <c r="L53" s="92" t="s">
        <v>426</v>
      </c>
      <c r="M53" s="92" t="s">
        <v>426</v>
      </c>
      <c r="N53" s="92" t="s">
        <v>426</v>
      </c>
      <c r="O53" s="92" t="s">
        <v>426</v>
      </c>
      <c r="P53" s="92" t="s">
        <v>426</v>
      </c>
      <c r="Q53" s="92" t="s">
        <v>426</v>
      </c>
      <c r="R53" s="92" t="s">
        <v>426</v>
      </c>
      <c r="S53" s="92" t="s">
        <v>426</v>
      </c>
      <c r="T53" s="95">
        <v>0</v>
      </c>
      <c r="U53" s="95">
        <v>0</v>
      </c>
      <c r="V53" s="95">
        <f t="shared" si="3"/>
        <v>0</v>
      </c>
      <c r="W53" s="95" t="s">
        <v>426</v>
      </c>
      <c r="X53" s="95" t="s">
        <v>426</v>
      </c>
      <c r="Y53" s="95" t="s">
        <v>426</v>
      </c>
      <c r="Z53" s="95" t="s">
        <v>426</v>
      </c>
      <c r="AA53" s="95" t="s">
        <v>426</v>
      </c>
      <c r="AB53" s="95">
        <f t="shared" si="5"/>
        <v>0</v>
      </c>
      <c r="AC53" s="95">
        <f t="shared" si="6"/>
        <v>0</v>
      </c>
      <c r="AD53" s="95">
        <f t="shared" si="7"/>
        <v>0</v>
      </c>
      <c r="AE53" s="95" t="str">
        <f t="shared" si="8"/>
        <v>-</v>
      </c>
    </row>
    <row r="54" spans="1:31" s="13" customFormat="1" ht="17.25" customHeight="1" x14ac:dyDescent="0.2">
      <c r="A54" s="92" t="s">
        <v>435</v>
      </c>
      <c r="B54" s="211" t="s">
        <v>436</v>
      </c>
      <c r="C54" s="212"/>
      <c r="D54" s="212"/>
      <c r="E54" s="212"/>
      <c r="F54" s="212"/>
      <c r="G54" s="212"/>
      <c r="H54" s="212"/>
      <c r="I54" s="212"/>
      <c r="J54" s="212"/>
      <c r="K54" s="212"/>
      <c r="L54" s="92" t="s">
        <v>426</v>
      </c>
      <c r="M54" s="92" t="s">
        <v>426</v>
      </c>
      <c r="N54" s="92" t="s">
        <v>426</v>
      </c>
      <c r="O54" s="92" t="s">
        <v>426</v>
      </c>
      <c r="P54" s="92" t="s">
        <v>426</v>
      </c>
      <c r="Q54" s="92" t="s">
        <v>426</v>
      </c>
      <c r="R54" s="92" t="s">
        <v>426</v>
      </c>
      <c r="S54" s="92" t="s">
        <v>426</v>
      </c>
      <c r="T54" s="95">
        <f>SUM(T55:T56)</f>
        <v>1960</v>
      </c>
      <c r="U54" s="95">
        <f>SUM(U55:U55)</f>
        <v>1020</v>
      </c>
      <c r="V54" s="95">
        <f t="shared" si="3"/>
        <v>-940</v>
      </c>
      <c r="W54" s="95">
        <f t="shared" si="4"/>
        <v>52.040816326530617</v>
      </c>
      <c r="X54" s="95" t="s">
        <v>426</v>
      </c>
      <c r="Y54" s="95" t="s">
        <v>426</v>
      </c>
      <c r="Z54" s="95" t="s">
        <v>426</v>
      </c>
      <c r="AA54" s="95" t="s">
        <v>426</v>
      </c>
      <c r="AB54" s="95">
        <f t="shared" si="5"/>
        <v>1960</v>
      </c>
      <c r="AC54" s="95">
        <f t="shared" si="6"/>
        <v>1020</v>
      </c>
      <c r="AD54" s="95">
        <f t="shared" si="7"/>
        <v>-940</v>
      </c>
      <c r="AE54" s="95">
        <f t="shared" si="8"/>
        <v>52.040816326530617</v>
      </c>
    </row>
    <row r="55" spans="1:31" s="13" customFormat="1" ht="31.5" customHeight="1" x14ac:dyDescent="0.2">
      <c r="A55" s="94">
        <v>1</v>
      </c>
      <c r="B55" s="211" t="s">
        <v>491</v>
      </c>
      <c r="C55" s="212"/>
      <c r="D55" s="212"/>
      <c r="E55" s="212"/>
      <c r="F55" s="212"/>
      <c r="G55" s="212"/>
      <c r="H55" s="212"/>
      <c r="I55" s="212"/>
      <c r="J55" s="212"/>
      <c r="K55" s="212"/>
      <c r="L55" s="92" t="s">
        <v>426</v>
      </c>
      <c r="M55" s="92" t="s">
        <v>426</v>
      </c>
      <c r="N55" s="92" t="s">
        <v>426</v>
      </c>
      <c r="O55" s="92" t="s">
        <v>426</v>
      </c>
      <c r="P55" s="92" t="s">
        <v>426</v>
      </c>
      <c r="Q55" s="92" t="s">
        <v>426</v>
      </c>
      <c r="R55" s="92" t="s">
        <v>426</v>
      </c>
      <c r="S55" s="92" t="s">
        <v>426</v>
      </c>
      <c r="T55" s="95">
        <v>1960</v>
      </c>
      <c r="U55" s="95">
        <v>1020</v>
      </c>
      <c r="V55" s="95">
        <f t="shared" si="3"/>
        <v>-940</v>
      </c>
      <c r="W55" s="95">
        <f t="shared" si="4"/>
        <v>52.040816326530617</v>
      </c>
      <c r="X55" s="95" t="s">
        <v>426</v>
      </c>
      <c r="Y55" s="95" t="s">
        <v>426</v>
      </c>
      <c r="Z55" s="95" t="s">
        <v>426</v>
      </c>
      <c r="AA55" s="95" t="s">
        <v>426</v>
      </c>
      <c r="AB55" s="95">
        <f t="shared" si="5"/>
        <v>1960</v>
      </c>
      <c r="AC55" s="95">
        <f t="shared" si="6"/>
        <v>1020</v>
      </c>
      <c r="AD55" s="95">
        <f t="shared" si="7"/>
        <v>-940</v>
      </c>
      <c r="AE55" s="95">
        <f t="shared" si="8"/>
        <v>52.040816326530617</v>
      </c>
    </row>
    <row r="56" spans="1:31" s="13" customFormat="1" ht="17.25" hidden="1" customHeight="1" x14ac:dyDescent="0.2">
      <c r="A56" s="94">
        <v>2</v>
      </c>
      <c r="B56" s="211" t="s">
        <v>507</v>
      </c>
      <c r="C56" s="212"/>
      <c r="D56" s="212"/>
      <c r="E56" s="212"/>
      <c r="F56" s="212"/>
      <c r="G56" s="212"/>
      <c r="H56" s="212"/>
      <c r="I56" s="212"/>
      <c r="J56" s="212"/>
      <c r="K56" s="212"/>
      <c r="L56" s="92" t="s">
        <v>426</v>
      </c>
      <c r="M56" s="92" t="s">
        <v>426</v>
      </c>
      <c r="N56" s="92" t="s">
        <v>426</v>
      </c>
      <c r="O56" s="92" t="s">
        <v>426</v>
      </c>
      <c r="P56" s="92" t="s">
        <v>426</v>
      </c>
      <c r="Q56" s="92" t="s">
        <v>426</v>
      </c>
      <c r="R56" s="92" t="s">
        <v>426</v>
      </c>
      <c r="S56" s="92" t="s">
        <v>426</v>
      </c>
      <c r="T56" s="95">
        <v>0</v>
      </c>
      <c r="U56" s="95">
        <v>0</v>
      </c>
      <c r="V56" s="95">
        <f t="shared" ref="V56:W63" si="9">U56-T56</f>
        <v>0</v>
      </c>
      <c r="W56" s="95" t="e">
        <f>U56/T56*100</f>
        <v>#DIV/0!</v>
      </c>
      <c r="X56" s="95" t="s">
        <v>426</v>
      </c>
      <c r="Y56" s="95" t="s">
        <v>426</v>
      </c>
      <c r="Z56" s="95" t="s">
        <v>426</v>
      </c>
      <c r="AA56" s="95" t="s">
        <v>426</v>
      </c>
      <c r="AB56" s="95">
        <f t="shared" si="5"/>
        <v>0</v>
      </c>
      <c r="AC56" s="95">
        <f t="shared" si="6"/>
        <v>0</v>
      </c>
      <c r="AD56" s="95">
        <f t="shared" si="7"/>
        <v>0</v>
      </c>
      <c r="AE56" s="95" t="e">
        <f t="shared" si="8"/>
        <v>#DIV/0!</v>
      </c>
    </row>
    <row r="57" spans="1:31" s="13" customFormat="1" ht="17.25" customHeight="1" x14ac:dyDescent="0.2">
      <c r="A57" s="92" t="s">
        <v>437</v>
      </c>
      <c r="B57" s="211" t="s">
        <v>438</v>
      </c>
      <c r="C57" s="212"/>
      <c r="D57" s="212"/>
      <c r="E57" s="212"/>
      <c r="F57" s="212"/>
      <c r="G57" s="212"/>
      <c r="H57" s="212"/>
      <c r="I57" s="212"/>
      <c r="J57" s="212"/>
      <c r="K57" s="212"/>
      <c r="L57" s="92" t="s">
        <v>426</v>
      </c>
      <c r="M57" s="92" t="s">
        <v>426</v>
      </c>
      <c r="N57" s="92" t="s">
        <v>426</v>
      </c>
      <c r="O57" s="92" t="s">
        <v>426</v>
      </c>
      <c r="P57" s="92" t="s">
        <v>426</v>
      </c>
      <c r="Q57" s="92" t="s">
        <v>426</v>
      </c>
      <c r="R57" s="92" t="s">
        <v>426</v>
      </c>
      <c r="S57" s="92" t="s">
        <v>426</v>
      </c>
      <c r="T57" s="95">
        <f>SUM(T58:T60)</f>
        <v>6405</v>
      </c>
      <c r="U57" s="95">
        <f>SUM(U58:U60)</f>
        <v>0</v>
      </c>
      <c r="V57" s="95">
        <f>U57-T57</f>
        <v>-6405</v>
      </c>
      <c r="W57" s="95">
        <f t="shared" si="9"/>
        <v>-6405</v>
      </c>
      <c r="X57" s="95" t="s">
        <v>426</v>
      </c>
      <c r="Y57" s="95" t="s">
        <v>426</v>
      </c>
      <c r="Z57" s="95" t="s">
        <v>426</v>
      </c>
      <c r="AA57" s="95" t="s">
        <v>426</v>
      </c>
      <c r="AB57" s="95">
        <f t="shared" si="5"/>
        <v>6405</v>
      </c>
      <c r="AC57" s="95">
        <f t="shared" si="6"/>
        <v>0</v>
      </c>
      <c r="AD57" s="95">
        <f t="shared" si="7"/>
        <v>-6405</v>
      </c>
      <c r="AE57" s="95">
        <f t="shared" si="8"/>
        <v>-6405</v>
      </c>
    </row>
    <row r="58" spans="1:31" s="13" customFormat="1" ht="17.25" customHeight="1" x14ac:dyDescent="0.2">
      <c r="A58" s="94">
        <v>1</v>
      </c>
      <c r="B58" s="211" t="s">
        <v>439</v>
      </c>
      <c r="C58" s="212"/>
      <c r="D58" s="212"/>
      <c r="E58" s="212"/>
      <c r="F58" s="212"/>
      <c r="G58" s="212"/>
      <c r="H58" s="212"/>
      <c r="I58" s="212"/>
      <c r="J58" s="212"/>
      <c r="K58" s="212"/>
      <c r="L58" s="92" t="s">
        <v>426</v>
      </c>
      <c r="M58" s="92" t="s">
        <v>426</v>
      </c>
      <c r="N58" s="92" t="s">
        <v>426</v>
      </c>
      <c r="O58" s="92" t="s">
        <v>426</v>
      </c>
      <c r="P58" s="92" t="s">
        <v>426</v>
      </c>
      <c r="Q58" s="92" t="s">
        <v>426</v>
      </c>
      <c r="R58" s="92" t="s">
        <v>426</v>
      </c>
      <c r="S58" s="92" t="s">
        <v>426</v>
      </c>
      <c r="T58" s="95">
        <v>0</v>
      </c>
      <c r="U58" s="95">
        <v>0</v>
      </c>
      <c r="V58" s="95">
        <f t="shared" si="9"/>
        <v>0</v>
      </c>
      <c r="W58" s="95">
        <f t="shared" si="9"/>
        <v>0</v>
      </c>
      <c r="X58" s="95" t="s">
        <v>426</v>
      </c>
      <c r="Y58" s="95" t="s">
        <v>426</v>
      </c>
      <c r="Z58" s="95" t="s">
        <v>426</v>
      </c>
      <c r="AA58" s="95" t="s">
        <v>426</v>
      </c>
      <c r="AB58" s="95">
        <f t="shared" si="5"/>
        <v>0</v>
      </c>
      <c r="AC58" s="95">
        <f t="shared" si="6"/>
        <v>0</v>
      </c>
      <c r="AD58" s="95">
        <f t="shared" si="7"/>
        <v>0</v>
      </c>
      <c r="AE58" s="95">
        <f t="shared" si="8"/>
        <v>0</v>
      </c>
    </row>
    <row r="59" spans="1:31" s="13" customFormat="1" ht="17.25" customHeight="1" x14ac:dyDescent="0.2">
      <c r="A59" s="94">
        <v>2</v>
      </c>
      <c r="B59" s="211" t="s">
        <v>510</v>
      </c>
      <c r="C59" s="212"/>
      <c r="D59" s="212"/>
      <c r="E59" s="212"/>
      <c r="F59" s="212"/>
      <c r="G59" s="212"/>
      <c r="H59" s="212"/>
      <c r="I59" s="212"/>
      <c r="J59" s="212"/>
      <c r="K59" s="212"/>
      <c r="L59" s="92" t="s">
        <v>426</v>
      </c>
      <c r="M59" s="92" t="s">
        <v>426</v>
      </c>
      <c r="N59" s="92" t="s">
        <v>426</v>
      </c>
      <c r="O59" s="92" t="s">
        <v>426</v>
      </c>
      <c r="P59" s="92" t="s">
        <v>426</v>
      </c>
      <c r="Q59" s="92" t="s">
        <v>426</v>
      </c>
      <c r="R59" s="92" t="s">
        <v>426</v>
      </c>
      <c r="S59" s="92" t="s">
        <v>426</v>
      </c>
      <c r="T59" s="95">
        <v>0</v>
      </c>
      <c r="U59" s="95">
        <v>0</v>
      </c>
      <c r="V59" s="95">
        <f t="shared" si="9"/>
        <v>0</v>
      </c>
      <c r="W59" s="95">
        <f t="shared" si="9"/>
        <v>0</v>
      </c>
      <c r="X59" s="95" t="s">
        <v>426</v>
      </c>
      <c r="Y59" s="95" t="s">
        <v>426</v>
      </c>
      <c r="Z59" s="95" t="s">
        <v>426</v>
      </c>
      <c r="AA59" s="95" t="s">
        <v>426</v>
      </c>
      <c r="AB59" s="95">
        <f t="shared" si="5"/>
        <v>0</v>
      </c>
      <c r="AC59" s="95">
        <f t="shared" si="6"/>
        <v>0</v>
      </c>
      <c r="AD59" s="95">
        <f t="shared" si="7"/>
        <v>0</v>
      </c>
      <c r="AE59" s="95">
        <f t="shared" si="8"/>
        <v>0</v>
      </c>
    </row>
    <row r="60" spans="1:31" s="13" customFormat="1" ht="17.25" customHeight="1" x14ac:dyDescent="0.2">
      <c r="A60" s="94">
        <v>3</v>
      </c>
      <c r="B60" s="211" t="s">
        <v>576</v>
      </c>
      <c r="C60" s="212"/>
      <c r="D60" s="212"/>
      <c r="E60" s="212"/>
      <c r="F60" s="212"/>
      <c r="G60" s="212"/>
      <c r="H60" s="212"/>
      <c r="I60" s="212"/>
      <c r="J60" s="212"/>
      <c r="K60" s="212"/>
      <c r="L60" s="92" t="s">
        <v>426</v>
      </c>
      <c r="M60" s="92" t="s">
        <v>426</v>
      </c>
      <c r="N60" s="92" t="s">
        <v>426</v>
      </c>
      <c r="O60" s="92" t="s">
        <v>426</v>
      </c>
      <c r="P60" s="92" t="s">
        <v>426</v>
      </c>
      <c r="Q60" s="92" t="s">
        <v>426</v>
      </c>
      <c r="R60" s="92" t="s">
        <v>426</v>
      </c>
      <c r="S60" s="92" t="s">
        <v>426</v>
      </c>
      <c r="T60" s="95">
        <v>6405</v>
      </c>
      <c r="U60" s="95">
        <v>0</v>
      </c>
      <c r="V60" s="95">
        <f>U60-T60</f>
        <v>-6405</v>
      </c>
      <c r="W60" s="95">
        <f>V60-U60</f>
        <v>-6405</v>
      </c>
      <c r="X60" s="95" t="s">
        <v>426</v>
      </c>
      <c r="Y60" s="95" t="s">
        <v>426</v>
      </c>
      <c r="Z60" s="95" t="s">
        <v>426</v>
      </c>
      <c r="AA60" s="95" t="s">
        <v>426</v>
      </c>
      <c r="AB60" s="95">
        <f>T60</f>
        <v>6405</v>
      </c>
      <c r="AC60" s="95">
        <f>U60</f>
        <v>0</v>
      </c>
      <c r="AD60" s="95">
        <f>V60</f>
        <v>-6405</v>
      </c>
      <c r="AE60" s="95">
        <f>W60</f>
        <v>-6405</v>
      </c>
    </row>
    <row r="61" spans="1:31" s="13" customFormat="1" ht="17.25" customHeight="1" x14ac:dyDescent="0.2">
      <c r="A61" s="92" t="s">
        <v>440</v>
      </c>
      <c r="B61" s="211" t="s">
        <v>441</v>
      </c>
      <c r="C61" s="212"/>
      <c r="D61" s="212"/>
      <c r="E61" s="212"/>
      <c r="F61" s="212"/>
      <c r="G61" s="212"/>
      <c r="H61" s="212"/>
      <c r="I61" s="212"/>
      <c r="J61" s="212"/>
      <c r="K61" s="212"/>
      <c r="L61" s="92" t="s">
        <v>426</v>
      </c>
      <c r="M61" s="92" t="s">
        <v>426</v>
      </c>
      <c r="N61" s="92" t="s">
        <v>426</v>
      </c>
      <c r="O61" s="92" t="s">
        <v>426</v>
      </c>
      <c r="P61" s="92" t="s">
        <v>426</v>
      </c>
      <c r="Q61" s="92" t="s">
        <v>426</v>
      </c>
      <c r="R61" s="92" t="s">
        <v>426</v>
      </c>
      <c r="S61" s="92" t="s">
        <v>426</v>
      </c>
      <c r="T61" s="95">
        <f>T62</f>
        <v>0</v>
      </c>
      <c r="U61" s="95">
        <f>SUM(U62:U62)</f>
        <v>0</v>
      </c>
      <c r="V61" s="95">
        <f t="shared" si="9"/>
        <v>0</v>
      </c>
      <c r="W61" s="95">
        <f t="shared" si="9"/>
        <v>0</v>
      </c>
      <c r="X61" s="95" t="s">
        <v>426</v>
      </c>
      <c r="Y61" s="95" t="s">
        <v>426</v>
      </c>
      <c r="Z61" s="95" t="s">
        <v>426</v>
      </c>
      <c r="AA61" s="95" t="s">
        <v>426</v>
      </c>
      <c r="AB61" s="95">
        <f t="shared" si="5"/>
        <v>0</v>
      </c>
      <c r="AC61" s="95">
        <f t="shared" si="6"/>
        <v>0</v>
      </c>
      <c r="AD61" s="95">
        <f t="shared" si="7"/>
        <v>0</v>
      </c>
      <c r="AE61" s="95">
        <f t="shared" si="8"/>
        <v>0</v>
      </c>
    </row>
    <row r="62" spans="1:31" s="13" customFormat="1" ht="17.25" customHeight="1" x14ac:dyDescent="0.2">
      <c r="A62" s="92">
        <v>1</v>
      </c>
      <c r="B62" s="211" t="s">
        <v>508</v>
      </c>
      <c r="C62" s="212"/>
      <c r="D62" s="212"/>
      <c r="E62" s="212"/>
      <c r="F62" s="212"/>
      <c r="G62" s="212"/>
      <c r="H62" s="212"/>
      <c r="I62" s="212"/>
      <c r="J62" s="212"/>
      <c r="K62" s="212"/>
      <c r="L62" s="92" t="s">
        <v>426</v>
      </c>
      <c r="M62" s="92" t="s">
        <v>426</v>
      </c>
      <c r="N62" s="92" t="s">
        <v>426</v>
      </c>
      <c r="O62" s="92" t="s">
        <v>426</v>
      </c>
      <c r="P62" s="92" t="s">
        <v>426</v>
      </c>
      <c r="Q62" s="92" t="s">
        <v>426</v>
      </c>
      <c r="R62" s="92" t="s">
        <v>426</v>
      </c>
      <c r="S62" s="92" t="s">
        <v>426</v>
      </c>
      <c r="T62" s="95">
        <v>0</v>
      </c>
      <c r="U62" s="95">
        <v>0</v>
      </c>
      <c r="V62" s="95">
        <f t="shared" si="9"/>
        <v>0</v>
      </c>
      <c r="W62" s="95">
        <f t="shared" si="9"/>
        <v>0</v>
      </c>
      <c r="X62" s="95" t="s">
        <v>426</v>
      </c>
      <c r="Y62" s="95" t="s">
        <v>426</v>
      </c>
      <c r="Z62" s="95" t="s">
        <v>426</v>
      </c>
      <c r="AA62" s="95" t="s">
        <v>426</v>
      </c>
      <c r="AB62" s="95">
        <f t="shared" si="5"/>
        <v>0</v>
      </c>
      <c r="AC62" s="95">
        <f t="shared" si="6"/>
        <v>0</v>
      </c>
      <c r="AD62" s="95">
        <f t="shared" si="7"/>
        <v>0</v>
      </c>
      <c r="AE62" s="95">
        <f t="shared" si="8"/>
        <v>0</v>
      </c>
    </row>
    <row r="63" spans="1:31" s="13" customFormat="1" ht="17.25" customHeight="1" x14ac:dyDescent="0.2">
      <c r="A63" s="213" t="s">
        <v>94</v>
      </c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92" t="s">
        <v>426</v>
      </c>
      <c r="M63" s="92" t="s">
        <v>426</v>
      </c>
      <c r="N63" s="92" t="s">
        <v>426</v>
      </c>
      <c r="O63" s="92" t="s">
        <v>426</v>
      </c>
      <c r="P63" s="92" t="s">
        <v>426</v>
      </c>
      <c r="Q63" s="92" t="s">
        <v>426</v>
      </c>
      <c r="R63" s="92" t="s">
        <v>426</v>
      </c>
      <c r="S63" s="92" t="s">
        <v>426</v>
      </c>
      <c r="T63" s="95">
        <f>T46+T48+T53+T54+T57+T61</f>
        <v>24305</v>
      </c>
      <c r="U63" s="95">
        <f>U46+U48+U53+U54+U57+U61</f>
        <v>5799</v>
      </c>
      <c r="V63" s="95">
        <f t="shared" si="9"/>
        <v>-18506</v>
      </c>
      <c r="W63" s="95">
        <f>U63/T63*100</f>
        <v>23.859288212301998</v>
      </c>
      <c r="X63" s="95" t="s">
        <v>426</v>
      </c>
      <c r="Y63" s="95" t="s">
        <v>426</v>
      </c>
      <c r="Z63" s="95" t="s">
        <v>426</v>
      </c>
      <c r="AA63" s="95" t="s">
        <v>426</v>
      </c>
      <c r="AB63" s="95">
        <f t="shared" si="5"/>
        <v>24305</v>
      </c>
      <c r="AC63" s="95">
        <f t="shared" si="6"/>
        <v>5799</v>
      </c>
      <c r="AD63" s="95">
        <f t="shared" si="7"/>
        <v>-18506</v>
      </c>
      <c r="AE63" s="95">
        <f t="shared" si="8"/>
        <v>23.859288212301998</v>
      </c>
    </row>
    <row r="64" spans="1:31" s="13" customFormat="1" ht="17.25" customHeight="1" x14ac:dyDescent="0.2">
      <c r="A64" s="213" t="s">
        <v>442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92" t="s">
        <v>426</v>
      </c>
      <c r="M64" s="92" t="s">
        <v>426</v>
      </c>
      <c r="N64" s="92" t="s">
        <v>426</v>
      </c>
      <c r="O64" s="92" t="s">
        <v>426</v>
      </c>
      <c r="P64" s="92" t="s">
        <v>426</v>
      </c>
      <c r="Q64" s="92" t="s">
        <v>426</v>
      </c>
      <c r="R64" s="92" t="s">
        <v>426</v>
      </c>
      <c r="S64" s="92" t="s">
        <v>426</v>
      </c>
      <c r="T64" s="95" t="s">
        <v>426</v>
      </c>
      <c r="U64" s="95" t="s">
        <v>426</v>
      </c>
      <c r="V64" s="95" t="s">
        <v>426</v>
      </c>
      <c r="W64" s="95" t="s">
        <v>426</v>
      </c>
      <c r="X64" s="95" t="s">
        <v>426</v>
      </c>
      <c r="Y64" s="95" t="s">
        <v>426</v>
      </c>
      <c r="Z64" s="95" t="s">
        <v>426</v>
      </c>
      <c r="AA64" s="95" t="s">
        <v>426</v>
      </c>
      <c r="AB64" s="95" t="s">
        <v>426</v>
      </c>
      <c r="AC64" s="95" t="s">
        <v>426</v>
      </c>
      <c r="AD64" s="95" t="s">
        <v>426</v>
      </c>
      <c r="AE64" s="95" t="s">
        <v>426</v>
      </c>
    </row>
    <row r="65" spans="1:31" s="13" customFormat="1" ht="8.25" customHeight="1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s="13" customFormat="1" ht="21" customHeight="1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</row>
    <row r="67" spans="1:31" s="13" customFormat="1" ht="12.95" customHeight="1" x14ac:dyDescent="0.2">
      <c r="A67" s="29"/>
      <c r="B67" s="191" t="s">
        <v>443</v>
      </c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</row>
    <row r="68" spans="1:31" s="13" customFormat="1" ht="12.95" customHeight="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20" t="s">
        <v>418</v>
      </c>
      <c r="AD68" s="220"/>
      <c r="AE68" s="220"/>
    </row>
    <row r="69" spans="1:31" s="13" customFormat="1" ht="24.95" customHeight="1" x14ac:dyDescent="0.2">
      <c r="A69" s="192" t="s">
        <v>444</v>
      </c>
      <c r="B69" s="192" t="s">
        <v>445</v>
      </c>
      <c r="C69" s="192" t="s">
        <v>446</v>
      </c>
      <c r="D69" s="192"/>
      <c r="E69" s="192" t="s">
        <v>447</v>
      </c>
      <c r="F69" s="192"/>
      <c r="G69" s="192" t="s">
        <v>448</v>
      </c>
      <c r="H69" s="192"/>
      <c r="I69" s="192" t="s">
        <v>449</v>
      </c>
      <c r="J69" s="192"/>
      <c r="K69" s="214" t="s">
        <v>599</v>
      </c>
      <c r="L69" s="192"/>
      <c r="M69" s="192"/>
      <c r="N69" s="192"/>
      <c r="O69" s="192"/>
      <c r="P69" s="192"/>
      <c r="Q69" s="192"/>
      <c r="R69" s="192"/>
      <c r="S69" s="192"/>
      <c r="T69" s="192"/>
      <c r="U69" s="192" t="s">
        <v>450</v>
      </c>
      <c r="V69" s="192"/>
      <c r="W69" s="192"/>
      <c r="X69" s="192"/>
      <c r="Y69" s="192"/>
      <c r="Z69" s="192" t="s">
        <v>451</v>
      </c>
      <c r="AA69" s="192"/>
      <c r="AB69" s="192"/>
      <c r="AC69" s="192"/>
      <c r="AD69" s="192"/>
      <c r="AE69" s="192"/>
    </row>
    <row r="70" spans="1:31" s="13" customFormat="1" ht="51.75" customHeight="1" x14ac:dyDescent="0.2">
      <c r="A70" s="192"/>
      <c r="B70" s="192"/>
      <c r="C70" s="192"/>
      <c r="D70" s="192"/>
      <c r="E70" s="192"/>
      <c r="F70" s="192"/>
      <c r="G70" s="192"/>
      <c r="H70" s="192"/>
      <c r="I70" s="192"/>
      <c r="J70" s="192"/>
      <c r="K70" s="192" t="s">
        <v>452</v>
      </c>
      <c r="L70" s="192"/>
      <c r="M70" s="192" t="s">
        <v>453</v>
      </c>
      <c r="N70" s="192"/>
      <c r="O70" s="192" t="s">
        <v>454</v>
      </c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</row>
    <row r="71" spans="1:31" s="13" customFormat="1" ht="66.75" customHeight="1" x14ac:dyDescent="0.2">
      <c r="A71" s="192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 t="s">
        <v>144</v>
      </c>
      <c r="P71" s="192"/>
      <c r="Q71" s="192" t="s">
        <v>455</v>
      </c>
      <c r="R71" s="192"/>
      <c r="S71" s="192" t="s">
        <v>456</v>
      </c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</row>
    <row r="72" spans="1:31" s="13" customFormat="1" ht="12.95" customHeight="1" x14ac:dyDescent="0.2">
      <c r="A72" s="94">
        <v>1</v>
      </c>
      <c r="B72" s="94">
        <v>2</v>
      </c>
      <c r="C72" s="193">
        <v>3</v>
      </c>
      <c r="D72" s="193"/>
      <c r="E72" s="193">
        <v>4</v>
      </c>
      <c r="F72" s="193"/>
      <c r="G72" s="193">
        <v>5</v>
      </c>
      <c r="H72" s="193"/>
      <c r="I72" s="193">
        <v>6</v>
      </c>
      <c r="J72" s="193"/>
      <c r="K72" s="193">
        <v>7</v>
      </c>
      <c r="L72" s="193"/>
      <c r="M72" s="193">
        <v>8</v>
      </c>
      <c r="N72" s="193"/>
      <c r="O72" s="193">
        <v>9</v>
      </c>
      <c r="P72" s="193"/>
      <c r="Q72" s="193">
        <v>10</v>
      </c>
      <c r="R72" s="193"/>
      <c r="S72" s="193">
        <v>11</v>
      </c>
      <c r="T72" s="193"/>
      <c r="U72" s="193">
        <v>12</v>
      </c>
      <c r="V72" s="193"/>
      <c r="W72" s="193"/>
      <c r="X72" s="193"/>
      <c r="Y72" s="193"/>
      <c r="Z72" s="193">
        <v>13</v>
      </c>
      <c r="AA72" s="193"/>
      <c r="AB72" s="193"/>
      <c r="AC72" s="193"/>
      <c r="AD72" s="193"/>
      <c r="AE72" s="193"/>
    </row>
    <row r="73" spans="1:31" s="13" customFormat="1" ht="12.95" customHeight="1" x14ac:dyDescent="0.2">
      <c r="A73" s="94">
        <v>1</v>
      </c>
      <c r="B73" s="30" t="s">
        <v>426</v>
      </c>
      <c r="C73" s="197" t="s">
        <v>426</v>
      </c>
      <c r="D73" s="197"/>
      <c r="E73" s="197" t="s">
        <v>426</v>
      </c>
      <c r="F73" s="197"/>
      <c r="G73" s="197" t="s">
        <v>426</v>
      </c>
      <c r="H73" s="197"/>
      <c r="I73" s="197" t="s">
        <v>426</v>
      </c>
      <c r="J73" s="197"/>
      <c r="K73" s="197" t="s">
        <v>426</v>
      </c>
      <c r="L73" s="197"/>
      <c r="M73" s="197" t="s">
        <v>426</v>
      </c>
      <c r="N73" s="197"/>
      <c r="O73" s="197" t="s">
        <v>426</v>
      </c>
      <c r="P73" s="197"/>
      <c r="Q73" s="197" t="s">
        <v>426</v>
      </c>
      <c r="R73" s="197"/>
      <c r="S73" s="197" t="s">
        <v>426</v>
      </c>
      <c r="T73" s="197"/>
      <c r="U73" s="192" t="s">
        <v>426</v>
      </c>
      <c r="V73" s="192"/>
      <c r="W73" s="192"/>
      <c r="X73" s="192"/>
      <c r="Y73" s="192"/>
      <c r="Z73" s="192" t="s">
        <v>426</v>
      </c>
      <c r="AA73" s="192"/>
      <c r="AB73" s="192"/>
      <c r="AC73" s="192"/>
      <c r="AD73" s="192"/>
      <c r="AE73" s="192"/>
    </row>
    <row r="74" spans="1:31" s="13" customFormat="1" ht="12.95" customHeight="1" x14ac:dyDescent="0.2">
      <c r="A74" s="92"/>
      <c r="B74" s="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</row>
    <row r="75" spans="1:31" s="13" customFormat="1" ht="12.95" customHeight="1" x14ac:dyDescent="0.2">
      <c r="A75" s="192" t="s">
        <v>94</v>
      </c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</row>
    <row r="76" spans="1:31" ht="12.95" customHeight="1" x14ac:dyDescent="0.2"/>
    <row r="77" spans="1:31" ht="24.75" customHeight="1" x14ac:dyDescent="0.2"/>
    <row r="78" spans="1:31" s="31" customFormat="1" ht="12.95" customHeight="1" x14ac:dyDescent="0.25">
      <c r="B78" s="32" t="s">
        <v>179</v>
      </c>
    </row>
    <row r="79" spans="1:31" s="31" customFormat="1" ht="15.75" customHeight="1" x14ac:dyDescent="0.25">
      <c r="B79" s="218" t="s">
        <v>592</v>
      </c>
      <c r="C79" s="218"/>
      <c r="D79" s="218"/>
      <c r="E79" s="218"/>
      <c r="G79" s="219"/>
      <c r="H79" s="219"/>
      <c r="I79" s="219"/>
      <c r="J79" s="219"/>
      <c r="K79" s="219"/>
      <c r="L79" s="219"/>
      <c r="Q79" s="216" t="s">
        <v>608</v>
      </c>
      <c r="R79" s="217"/>
      <c r="S79" s="217"/>
      <c r="T79" s="217"/>
      <c r="U79" s="217"/>
      <c r="V79" s="217"/>
      <c r="W79" s="217"/>
    </row>
    <row r="80" spans="1:31" s="16" customFormat="1" ht="12.75" customHeight="1" x14ac:dyDescent="0.2">
      <c r="B80" s="93" t="s">
        <v>180</v>
      </c>
      <c r="C80" s="85"/>
      <c r="D80" s="85"/>
      <c r="G80" s="215" t="s">
        <v>181</v>
      </c>
      <c r="H80" s="215"/>
      <c r="I80" s="215"/>
      <c r="J80" s="215"/>
      <c r="K80" s="215"/>
      <c r="L80" s="215"/>
      <c r="Q80" s="215" t="s">
        <v>182</v>
      </c>
      <c r="R80" s="215"/>
      <c r="S80" s="215"/>
      <c r="T80" s="215"/>
      <c r="U80" s="215"/>
      <c r="V80" s="215"/>
      <c r="W80" s="215"/>
    </row>
  </sheetData>
  <mergeCells count="316">
    <mergeCell ref="Z27:AB27"/>
    <mergeCell ref="AC27:AE27"/>
    <mergeCell ref="Z75:AE75"/>
    <mergeCell ref="O75:P75"/>
    <mergeCell ref="AC68:AE68"/>
    <mergeCell ref="Z69:AE71"/>
    <mergeCell ref="AD36:AE36"/>
    <mergeCell ref="AD35:AE35"/>
    <mergeCell ref="Q33:U34"/>
    <mergeCell ref="V34:W34"/>
    <mergeCell ref="Z74:AE74"/>
    <mergeCell ref="O74:P74"/>
    <mergeCell ref="S75:T75"/>
    <mergeCell ref="U74:Y74"/>
    <mergeCell ref="Z73:AE73"/>
    <mergeCell ref="Q72:R72"/>
    <mergeCell ref="S72:T72"/>
    <mergeCell ref="Z72:AE72"/>
    <mergeCell ref="U75:Y75"/>
    <mergeCell ref="U73:Y73"/>
    <mergeCell ref="S73:T73"/>
    <mergeCell ref="Q73:R73"/>
    <mergeCell ref="AB37:AC37"/>
    <mergeCell ref="B67:AE67"/>
    <mergeCell ref="M74:N74"/>
    <mergeCell ref="K75:L75"/>
    <mergeCell ref="Q80:W80"/>
    <mergeCell ref="Q79:W79"/>
    <mergeCell ref="Q75:R75"/>
    <mergeCell ref="M75:N75"/>
    <mergeCell ref="C74:D74"/>
    <mergeCell ref="E74:F74"/>
    <mergeCell ref="I75:J75"/>
    <mergeCell ref="K74:L74"/>
    <mergeCell ref="I74:J74"/>
    <mergeCell ref="Q74:R74"/>
    <mergeCell ref="S74:T74"/>
    <mergeCell ref="G80:L80"/>
    <mergeCell ref="B79:E79"/>
    <mergeCell ref="A75:B75"/>
    <mergeCell ref="G75:H75"/>
    <mergeCell ref="G74:H74"/>
    <mergeCell ref="C75:D75"/>
    <mergeCell ref="E75:F75"/>
    <mergeCell ref="G79:L79"/>
    <mergeCell ref="M73:N73"/>
    <mergeCell ref="O73:P73"/>
    <mergeCell ref="M72:N72"/>
    <mergeCell ref="I72:J72"/>
    <mergeCell ref="I69:J71"/>
    <mergeCell ref="K69:T69"/>
    <mergeCell ref="C73:D73"/>
    <mergeCell ref="E73:F73"/>
    <mergeCell ref="K73:L73"/>
    <mergeCell ref="G72:H72"/>
    <mergeCell ref="C69:D71"/>
    <mergeCell ref="O70:T70"/>
    <mergeCell ref="Q71:R71"/>
    <mergeCell ref="S71:T71"/>
    <mergeCell ref="C72:D72"/>
    <mergeCell ref="E72:F72"/>
    <mergeCell ref="K72:L72"/>
    <mergeCell ref="G73:H73"/>
    <mergeCell ref="I73:J73"/>
    <mergeCell ref="B49:K49"/>
    <mergeCell ref="B45:K45"/>
    <mergeCell ref="A69:A71"/>
    <mergeCell ref="E69:F71"/>
    <mergeCell ref="K70:L71"/>
    <mergeCell ref="Z38:AA38"/>
    <mergeCell ref="V38:W38"/>
    <mergeCell ref="X38:Y38"/>
    <mergeCell ref="M70:N71"/>
    <mergeCell ref="G69:H71"/>
    <mergeCell ref="O71:P71"/>
    <mergeCell ref="B60:K60"/>
    <mergeCell ref="B57:K57"/>
    <mergeCell ref="B53:K53"/>
    <mergeCell ref="A64:K64"/>
    <mergeCell ref="B61:K61"/>
    <mergeCell ref="B62:K62"/>
    <mergeCell ref="A63:K63"/>
    <mergeCell ref="B59:K59"/>
    <mergeCell ref="B69:B71"/>
    <mergeCell ref="U69:Y71"/>
    <mergeCell ref="B58:K58"/>
    <mergeCell ref="X36:Y36"/>
    <mergeCell ref="G36:P36"/>
    <mergeCell ref="X37:Y37"/>
    <mergeCell ref="U72:Y72"/>
    <mergeCell ref="O72:P72"/>
    <mergeCell ref="A43:A44"/>
    <mergeCell ref="B43:K44"/>
    <mergeCell ref="T43:W43"/>
    <mergeCell ref="P43:S43"/>
    <mergeCell ref="B41:AE41"/>
    <mergeCell ref="X43:AA43"/>
    <mergeCell ref="A38:U38"/>
    <mergeCell ref="AC42:AE42"/>
    <mergeCell ref="AB43:AE43"/>
    <mergeCell ref="B56:K56"/>
    <mergeCell ref="B51:K51"/>
    <mergeCell ref="B54:K54"/>
    <mergeCell ref="B55:K55"/>
    <mergeCell ref="B52:K52"/>
    <mergeCell ref="L43:O43"/>
    <mergeCell ref="B50:K50"/>
    <mergeCell ref="B46:K46"/>
    <mergeCell ref="B48:K48"/>
    <mergeCell ref="B47:K47"/>
    <mergeCell ref="V35:W35"/>
    <mergeCell ref="B33:B34"/>
    <mergeCell ref="C35:F35"/>
    <mergeCell ref="A33:A34"/>
    <mergeCell ref="AD37:AE37"/>
    <mergeCell ref="AD38:AE38"/>
    <mergeCell ref="AB38:AC38"/>
    <mergeCell ref="Q35:U35"/>
    <mergeCell ref="AB35:AC35"/>
    <mergeCell ref="C33:F34"/>
    <mergeCell ref="G33:P34"/>
    <mergeCell ref="C36:F36"/>
    <mergeCell ref="C37:F37"/>
    <mergeCell ref="G37:P37"/>
    <mergeCell ref="V33:AA33"/>
    <mergeCell ref="Q36:U36"/>
    <mergeCell ref="AB36:AC36"/>
    <mergeCell ref="Z36:AA36"/>
    <mergeCell ref="Z37:AA37"/>
    <mergeCell ref="Z34:AA34"/>
    <mergeCell ref="X34:Y34"/>
    <mergeCell ref="X35:Y35"/>
    <mergeCell ref="V36:W36"/>
    <mergeCell ref="G35:P35"/>
    <mergeCell ref="Q37:U37"/>
    <mergeCell ref="V37:W37"/>
    <mergeCell ref="C26:F26"/>
    <mergeCell ref="G26:O26"/>
    <mergeCell ref="A29:O29"/>
    <mergeCell ref="T28:V28"/>
    <mergeCell ref="P26:S26"/>
    <mergeCell ref="P29:S29"/>
    <mergeCell ref="T29:V29"/>
    <mergeCell ref="W29:Y29"/>
    <mergeCell ref="W26:Y26"/>
    <mergeCell ref="G27:O27"/>
    <mergeCell ref="P27:S27"/>
    <mergeCell ref="T27:V27"/>
    <mergeCell ref="W27:Y27"/>
    <mergeCell ref="G28:O28"/>
    <mergeCell ref="C28:F28"/>
    <mergeCell ref="P28:S28"/>
    <mergeCell ref="B31:AE31"/>
    <mergeCell ref="AB33:AC34"/>
    <mergeCell ref="AD33:AE34"/>
    <mergeCell ref="Z35:AA35"/>
    <mergeCell ref="Z29:AB29"/>
    <mergeCell ref="AC29:AE29"/>
    <mergeCell ref="Z26:AB26"/>
    <mergeCell ref="AC26:AE26"/>
    <mergeCell ref="W28:Y28"/>
    <mergeCell ref="AC28:AE28"/>
    <mergeCell ref="Z28:AB28"/>
    <mergeCell ref="C27:F27"/>
    <mergeCell ref="C25:F25"/>
    <mergeCell ref="AC21:AE21"/>
    <mergeCell ref="W21:Y21"/>
    <mergeCell ref="AC23:AE23"/>
    <mergeCell ref="T22:V22"/>
    <mergeCell ref="AC22:AE22"/>
    <mergeCell ref="W22:Y22"/>
    <mergeCell ref="Z24:AB24"/>
    <mergeCell ref="T26:V26"/>
    <mergeCell ref="G25:O25"/>
    <mergeCell ref="T24:V24"/>
    <mergeCell ref="W24:Y24"/>
    <mergeCell ref="AC24:AE24"/>
    <mergeCell ref="T21:V21"/>
    <mergeCell ref="Z21:AB21"/>
    <mergeCell ref="Z23:AB23"/>
    <mergeCell ref="T25:V25"/>
    <mergeCell ref="Z22:AB22"/>
    <mergeCell ref="Z18:AB18"/>
    <mergeCell ref="W18:Y18"/>
    <mergeCell ref="T18:V18"/>
    <mergeCell ref="AC25:AE25"/>
    <mergeCell ref="AC20:AE20"/>
    <mergeCell ref="W20:Y20"/>
    <mergeCell ref="Z20:AB20"/>
    <mergeCell ref="P20:S20"/>
    <mergeCell ref="P19:S19"/>
    <mergeCell ref="T19:V19"/>
    <mergeCell ref="T20:V20"/>
    <mergeCell ref="P18:S18"/>
    <mergeCell ref="W19:Y19"/>
    <mergeCell ref="Z19:AB19"/>
    <mergeCell ref="AC19:AE19"/>
    <mergeCell ref="AC18:AE18"/>
    <mergeCell ref="P21:S21"/>
    <mergeCell ref="P22:S22"/>
    <mergeCell ref="W25:Y25"/>
    <mergeCell ref="T23:V23"/>
    <mergeCell ref="Z25:AB25"/>
    <mergeCell ref="P24:S24"/>
    <mergeCell ref="P23:S23"/>
    <mergeCell ref="P25:S25"/>
    <mergeCell ref="W23:Y23"/>
    <mergeCell ref="C24:F24"/>
    <mergeCell ref="C22:F22"/>
    <mergeCell ref="G22:O22"/>
    <mergeCell ref="C21:F21"/>
    <mergeCell ref="C18:F18"/>
    <mergeCell ref="C19:F19"/>
    <mergeCell ref="C20:F20"/>
    <mergeCell ref="G20:O20"/>
    <mergeCell ref="G21:O21"/>
    <mergeCell ref="G24:O24"/>
    <mergeCell ref="C16:F16"/>
    <mergeCell ref="C23:F23"/>
    <mergeCell ref="G23:O23"/>
    <mergeCell ref="G18:O18"/>
    <mergeCell ref="G19:O19"/>
    <mergeCell ref="G16:O16"/>
    <mergeCell ref="C17:F17"/>
    <mergeCell ref="G17:O17"/>
    <mergeCell ref="C15:F15"/>
    <mergeCell ref="G15:O15"/>
    <mergeCell ref="AC16:AE16"/>
    <mergeCell ref="W14:Y14"/>
    <mergeCell ref="Z16:AB16"/>
    <mergeCell ref="W16:Y16"/>
    <mergeCell ref="T16:V16"/>
    <mergeCell ref="T17:V17"/>
    <mergeCell ref="W12:Y12"/>
    <mergeCell ref="G13:O13"/>
    <mergeCell ref="G14:O14"/>
    <mergeCell ref="P14:S14"/>
    <mergeCell ref="Z17:AB17"/>
    <mergeCell ref="C14:F14"/>
    <mergeCell ref="C12:F12"/>
    <mergeCell ref="G12:O12"/>
    <mergeCell ref="C13:F13"/>
    <mergeCell ref="AC17:AE17"/>
    <mergeCell ref="P17:S17"/>
    <mergeCell ref="W9:Y9"/>
    <mergeCell ref="AC9:AE9"/>
    <mergeCell ref="W11:Y11"/>
    <mergeCell ref="AC10:AE10"/>
    <mergeCell ref="W17:Y17"/>
    <mergeCell ref="P15:S15"/>
    <mergeCell ref="T15:V15"/>
    <mergeCell ref="T12:V12"/>
    <mergeCell ref="AC15:AE15"/>
    <mergeCell ref="Z10:AB10"/>
    <mergeCell ref="W10:Y10"/>
    <mergeCell ref="T10:V10"/>
    <mergeCell ref="W15:Y15"/>
    <mergeCell ref="Z15:AB15"/>
    <mergeCell ref="P16:S16"/>
    <mergeCell ref="P12:S12"/>
    <mergeCell ref="P13:S13"/>
    <mergeCell ref="T13:V13"/>
    <mergeCell ref="C10:F10"/>
    <mergeCell ref="Z8:AB8"/>
    <mergeCell ref="C9:F9"/>
    <mergeCell ref="G9:O9"/>
    <mergeCell ref="P9:S9"/>
    <mergeCell ref="G11:O11"/>
    <mergeCell ref="P11:S11"/>
    <mergeCell ref="C11:F11"/>
    <mergeCell ref="AC14:AE14"/>
    <mergeCell ref="AC13:AE13"/>
    <mergeCell ref="T11:V11"/>
    <mergeCell ref="Z11:AB11"/>
    <mergeCell ref="Z14:AB14"/>
    <mergeCell ref="T14:V14"/>
    <mergeCell ref="Z12:AB12"/>
    <mergeCell ref="W13:Y13"/>
    <mergeCell ref="AC12:AE12"/>
    <mergeCell ref="AC11:AE11"/>
    <mergeCell ref="Z13:AB13"/>
    <mergeCell ref="G10:O10"/>
    <mergeCell ref="P10:S10"/>
    <mergeCell ref="Z9:AB9"/>
    <mergeCell ref="G8:O8"/>
    <mergeCell ref="T9:V9"/>
    <mergeCell ref="A4:A5"/>
    <mergeCell ref="B4:B5"/>
    <mergeCell ref="C4:F5"/>
    <mergeCell ref="G4:O5"/>
    <mergeCell ref="Z4:AB5"/>
    <mergeCell ref="AC6:AE6"/>
    <mergeCell ref="T8:V8"/>
    <mergeCell ref="P8:S8"/>
    <mergeCell ref="AC7:AE7"/>
    <mergeCell ref="Z7:AB7"/>
    <mergeCell ref="W7:Y7"/>
    <mergeCell ref="W6:Y6"/>
    <mergeCell ref="T6:V6"/>
    <mergeCell ref="Z6:AB6"/>
    <mergeCell ref="W8:Y8"/>
    <mergeCell ref="AC8:AE8"/>
    <mergeCell ref="P6:S6"/>
    <mergeCell ref="C8:F8"/>
    <mergeCell ref="B2:AE2"/>
    <mergeCell ref="AC4:AE5"/>
    <mergeCell ref="C6:F6"/>
    <mergeCell ref="G6:O6"/>
    <mergeCell ref="T5:V5"/>
    <mergeCell ref="W5:Y5"/>
    <mergeCell ref="P4:Y4"/>
    <mergeCell ref="P5:S5"/>
    <mergeCell ref="C7:F7"/>
    <mergeCell ref="G7:O7"/>
    <mergeCell ref="P7:S7"/>
    <mergeCell ref="T7:V7"/>
  </mergeCells>
  <phoneticPr fontId="0" type="noConversion"/>
  <pageMargins left="0.35433070866141736" right="0.35433070866141736" top="0.35433070866141736" bottom="0.35433070866141736" header="0" footer="0"/>
  <pageSetup paperSize="9" scale="57" fitToHeight="2" orientation="landscape" horizontalDpi="4294967293" verticalDpi="0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Осн. фін. пок.</vt:lpstr>
      <vt:lpstr>I. Формування фін. рез.</vt:lpstr>
      <vt:lpstr>ІІ. Розр. з бюджетом</vt:lpstr>
      <vt:lpstr>ІІІ. Рух грош. коштів</vt:lpstr>
      <vt:lpstr>IV. Кап. інвестиції</vt:lpstr>
      <vt:lpstr> V. Коефіцієнти</vt:lpstr>
      <vt:lpstr>Iнформація до ФП</vt:lpstr>
      <vt:lpstr>Продовження інф. до ФП</vt:lpstr>
      <vt:lpstr>'I. Формування фін. рез.'!Заголовки_для_печати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</vt:vector>
  </TitlesOfParts>
  <Company>ГП ОМТП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pashkovsky_udp</dc:creator>
  <cp:lastModifiedBy>Пилипенко Святослава Іллівна</cp:lastModifiedBy>
  <cp:lastPrinted>2020-03-19T15:52:07Z</cp:lastPrinted>
  <dcterms:created xsi:type="dcterms:W3CDTF">2017-02-08T12:33:36Z</dcterms:created>
  <dcterms:modified xsi:type="dcterms:W3CDTF">2020-05-13T08:21:49Z</dcterms:modified>
</cp:coreProperties>
</file>