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овая папка\Мои документы\Рада УЗ\звіти на запити\МІУ на протоколи\"/>
    </mc:Choice>
  </mc:AlternateContent>
  <bookViews>
    <workbookView xWindow="0" yWindow="0" windowWidth="20400" windowHeight="7755"/>
  </bookViews>
  <sheets>
    <sheet name="Лист1" sheetId="1" r:id="rId1"/>
  </sheets>
  <definedNames>
    <definedName name="_xlnm.Print_Titles" localSheetId="0">Лист1!$3:$7</definedName>
    <definedName name="_xlnm.Print_Area" localSheetId="0">Лист1!$A$1:$P$44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P34" i="1" s="1"/>
  <c r="K35" i="1"/>
  <c r="P35" i="1" s="1"/>
  <c r="K43" i="1"/>
  <c r="J37" i="1"/>
  <c r="K37" i="1"/>
  <c r="K39" i="1"/>
  <c r="P39" i="1" s="1"/>
  <c r="J39" i="1"/>
  <c r="K28" i="1"/>
  <c r="J17" i="1"/>
  <c r="F17" i="1" l="1"/>
  <c r="F16" i="1"/>
  <c r="F34" i="1"/>
  <c r="F43" i="1"/>
  <c r="R43" i="1"/>
  <c r="R36" i="1"/>
  <c r="R34" i="1"/>
  <c r="F33" i="1"/>
  <c r="F32" i="1"/>
  <c r="F25" i="1"/>
  <c r="F23" i="1"/>
  <c r="F22" i="1"/>
  <c r="F21" i="1"/>
  <c r="F8" i="1"/>
  <c r="M23" i="1" l="1"/>
  <c r="M8" i="1" l="1"/>
  <c r="L8" i="1"/>
  <c r="M43" i="1"/>
  <c r="M34" i="1"/>
  <c r="F36" i="1" l="1"/>
  <c r="P43" i="1" l="1"/>
  <c r="P42" i="1"/>
  <c r="P41" i="1"/>
  <c r="P40" i="1"/>
  <c r="P38" i="1"/>
  <c r="P37" i="1"/>
  <c r="P32" i="1"/>
  <c r="P31" i="1"/>
  <c r="P30" i="1"/>
  <c r="P29" i="1"/>
  <c r="P28" i="1"/>
  <c r="P26" i="1"/>
  <c r="P22" i="1"/>
  <c r="P21" i="1"/>
  <c r="P20" i="1"/>
  <c r="P19" i="1"/>
  <c r="P18" i="1"/>
  <c r="P17" i="1"/>
  <c r="P16" i="1"/>
  <c r="P14" i="1"/>
  <c r="P13" i="1"/>
  <c r="P10" i="1"/>
  <c r="P9" i="1"/>
  <c r="P8" i="1"/>
  <c r="N8" i="1"/>
  <c r="O10" i="1" l="1"/>
  <c r="O16" i="1"/>
  <c r="O17" i="1"/>
  <c r="O21" i="1"/>
  <c r="O22" i="1"/>
  <c r="O23" i="1"/>
  <c r="O26" i="1"/>
  <c r="O27" i="1"/>
  <c r="O28" i="1"/>
  <c r="O29" i="1"/>
  <c r="O30" i="1"/>
  <c r="O31" i="1"/>
  <c r="O32" i="1"/>
  <c r="O34" i="1"/>
  <c r="O35" i="1"/>
  <c r="O37" i="1"/>
  <c r="O38" i="1"/>
  <c r="O39" i="1"/>
  <c r="O40" i="1"/>
  <c r="O41" i="1"/>
  <c r="O42" i="1"/>
  <c r="O43" i="1"/>
  <c r="O8" i="1"/>
  <c r="M16" i="1"/>
  <c r="M17" i="1"/>
  <c r="M21" i="1"/>
  <c r="M22" i="1"/>
  <c r="M32" i="1"/>
  <c r="I36" i="1"/>
  <c r="I25" i="1"/>
  <c r="I15" i="1"/>
  <c r="O9" i="1"/>
  <c r="F24" i="1"/>
  <c r="F15" i="1"/>
  <c r="F12" i="1" s="1"/>
  <c r="L9" i="1"/>
  <c r="N9" i="1"/>
  <c r="L10" i="1"/>
  <c r="N10" i="1"/>
  <c r="L14" i="1"/>
  <c r="N14" i="1"/>
  <c r="L16" i="1"/>
  <c r="N16" i="1"/>
  <c r="N17" i="1"/>
  <c r="L18" i="1"/>
  <c r="N18" i="1"/>
  <c r="L19" i="1"/>
  <c r="N19" i="1"/>
  <c r="N20" i="1"/>
  <c r="L21" i="1"/>
  <c r="N21" i="1"/>
  <c r="L22" i="1"/>
  <c r="N22" i="1"/>
  <c r="L23" i="1"/>
  <c r="N23" i="1"/>
  <c r="N26" i="1"/>
  <c r="L27" i="1"/>
  <c r="N27" i="1"/>
  <c r="L28" i="1"/>
  <c r="N28" i="1"/>
  <c r="L29" i="1"/>
  <c r="N29" i="1"/>
  <c r="N30" i="1"/>
  <c r="N31" i="1"/>
  <c r="L32" i="1"/>
  <c r="N32" i="1"/>
  <c r="N34" i="1"/>
  <c r="L35" i="1"/>
  <c r="N35" i="1"/>
  <c r="L37" i="1"/>
  <c r="N37" i="1"/>
  <c r="L38" i="1"/>
  <c r="N38" i="1"/>
  <c r="L39" i="1"/>
  <c r="N39" i="1"/>
  <c r="L40" i="1"/>
  <c r="N40" i="1"/>
  <c r="L41" i="1"/>
  <c r="N41" i="1"/>
  <c r="N42" i="1"/>
  <c r="L43" i="1"/>
  <c r="N43" i="1"/>
  <c r="E34" i="1"/>
  <c r="D42" i="1"/>
  <c r="E42" i="1"/>
  <c r="L42" i="1" s="1"/>
  <c r="E31" i="1"/>
  <c r="E30" i="1"/>
  <c r="E26" i="1"/>
  <c r="E17" i="1"/>
  <c r="L17" i="1" s="1"/>
  <c r="E13" i="1"/>
  <c r="L13" i="1" l="1"/>
  <c r="L26" i="1"/>
  <c r="L31" i="1"/>
  <c r="I24" i="1"/>
  <c r="L30" i="1"/>
  <c r="L34" i="1"/>
  <c r="I12" i="1"/>
  <c r="I11" i="1" s="1"/>
  <c r="I33" i="1"/>
  <c r="F11" i="1"/>
  <c r="F44" i="1" s="1"/>
  <c r="E25" i="1"/>
  <c r="G17" i="1"/>
  <c r="G15" i="1" s="1"/>
  <c r="H36" i="1"/>
  <c r="H25" i="1"/>
  <c r="H13" i="1"/>
  <c r="E15" i="1"/>
  <c r="D15" i="1"/>
  <c r="H15" i="1"/>
  <c r="I44" i="1" l="1"/>
  <c r="E12" i="1"/>
  <c r="E11" i="1" s="1"/>
  <c r="H24" i="1"/>
  <c r="E24" i="1"/>
  <c r="H33" i="1"/>
  <c r="H12" i="1"/>
  <c r="H11" i="1" s="1"/>
  <c r="N13" i="1"/>
  <c r="K36" i="1"/>
  <c r="K25" i="1"/>
  <c r="K24" i="1" s="1"/>
  <c r="K15" i="1"/>
  <c r="J15" i="1"/>
  <c r="D36" i="1"/>
  <c r="E36" i="1"/>
  <c r="G36" i="1"/>
  <c r="C36" i="1"/>
  <c r="B15" i="1"/>
  <c r="B18" i="1"/>
  <c r="C25" i="1"/>
  <c r="C24" i="1" s="1"/>
  <c r="C15" i="1"/>
  <c r="P15" i="1" l="1"/>
  <c r="H44" i="1"/>
  <c r="C12" i="1"/>
  <c r="C11" i="1" s="1"/>
  <c r="J12" i="1"/>
  <c r="J11" i="1" s="1"/>
  <c r="M36" i="1"/>
  <c r="P24" i="1"/>
  <c r="P25" i="1"/>
  <c r="K12" i="1"/>
  <c r="O15" i="1"/>
  <c r="M15" i="1"/>
  <c r="L15" i="1"/>
  <c r="N15" i="1"/>
  <c r="O24" i="1"/>
  <c r="M24" i="1"/>
  <c r="N24" i="1"/>
  <c r="L24" i="1"/>
  <c r="N25" i="1"/>
  <c r="O25" i="1"/>
  <c r="M25" i="1"/>
  <c r="L25" i="1"/>
  <c r="O36" i="1"/>
  <c r="N36" i="1"/>
  <c r="L36" i="1"/>
  <c r="E33" i="1"/>
  <c r="C33" i="1"/>
  <c r="K33" i="1"/>
  <c r="C44" i="1" l="1"/>
  <c r="P12" i="1"/>
  <c r="O33" i="1"/>
  <c r="M33" i="1"/>
  <c r="N33" i="1"/>
  <c r="L12" i="1"/>
  <c r="O12" i="1"/>
  <c r="M12" i="1"/>
  <c r="N12" i="1"/>
  <c r="K11" i="1"/>
  <c r="P11" i="1" s="1"/>
  <c r="E44" i="1"/>
  <c r="L33" i="1"/>
  <c r="O11" i="1" l="1"/>
  <c r="M11" i="1"/>
  <c r="L11" i="1"/>
  <c r="N11" i="1"/>
  <c r="K44" i="1"/>
  <c r="P44" i="1" s="1"/>
  <c r="O44" i="1" l="1"/>
  <c r="M44" i="1"/>
  <c r="N44" i="1"/>
  <c r="L44" i="1"/>
</calcChain>
</file>

<file path=xl/comments1.xml><?xml version="1.0" encoding="utf-8"?>
<comments xmlns="http://schemas.openxmlformats.org/spreadsheetml/2006/main">
  <authors>
    <author>Гайдай Світлана Григорівна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Гайдай Світлана Григорівна:</t>
        </r>
        <r>
          <rPr>
            <sz val="9"/>
            <color indexed="81"/>
            <rFont val="Tahoma"/>
            <family val="2"/>
            <charset val="204"/>
          </rPr>
          <t xml:space="preserve">
тепловоз кр-2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Гайдай Світлана Григорівна:</t>
        </r>
        <r>
          <rPr>
            <sz val="9"/>
            <color indexed="81"/>
            <rFont val="Tahoma"/>
            <family val="2"/>
            <charset val="204"/>
          </rPr>
          <t xml:space="preserve">
тепловоз кр-2</t>
        </r>
      </text>
    </comment>
  </commentList>
</comments>
</file>

<file path=xl/sharedStrings.xml><?xml version="1.0" encoding="utf-8"?>
<sst xmlns="http://schemas.openxmlformats.org/spreadsheetml/2006/main" count="73" uniqueCount="59">
  <si>
    <t>Напрямок капітальних інвестицій</t>
  </si>
  <si>
    <t>Од.</t>
  </si>
  <si>
    <t xml:space="preserve"> - будівництво Бескидського тунелю</t>
  </si>
  <si>
    <t>рухомого складу, зокрема:</t>
  </si>
  <si>
    <t xml:space="preserve"> - вантажних вагонів</t>
  </si>
  <si>
    <t xml:space="preserve"> - пасажирських  вагонів</t>
  </si>
  <si>
    <t>Придбання нематеріальних активів</t>
  </si>
  <si>
    <t>Капітальний ремонт, у т.ч.:</t>
  </si>
  <si>
    <t>будівель та споруд, у т.ч. :</t>
  </si>
  <si>
    <t>Усього:</t>
  </si>
  <si>
    <t>придбання</t>
  </si>
  <si>
    <t>виготовлення</t>
  </si>
  <si>
    <t>механізмів та обладнання</t>
  </si>
  <si>
    <t>інших основних засобів</t>
  </si>
  <si>
    <t xml:space="preserve"> - колійного р.с.</t>
  </si>
  <si>
    <t xml:space="preserve"> - моторвагонного р. с. (ЦРП)</t>
  </si>
  <si>
    <t xml:space="preserve"> - іншого р.с.</t>
  </si>
  <si>
    <t xml:space="preserve"> - пасажирських вагонів </t>
  </si>
  <si>
    <t xml:space="preserve"> - господарство колії</t>
  </si>
  <si>
    <t xml:space="preserve"> - колійного рухомого складу</t>
  </si>
  <si>
    <t>Капітальне будівництво, зокрема:</t>
  </si>
  <si>
    <t xml:space="preserve"> - реконструкція колії, км.</t>
  </si>
  <si>
    <r>
      <t xml:space="preserve">Придбання основних засобів, </t>
    </r>
    <r>
      <rPr>
        <b/>
        <sz val="10"/>
        <color rgb="FF000000"/>
        <rFont val="Times New Roman"/>
        <family val="1"/>
        <charset val="204"/>
      </rPr>
      <t>у т.ч.:</t>
    </r>
  </si>
  <si>
    <r>
      <t xml:space="preserve">Модернізація основних засобів, </t>
    </r>
    <r>
      <rPr>
        <b/>
        <sz val="12"/>
        <color rgb="FF000000"/>
        <rFont val="Times New Roman"/>
        <family val="1"/>
        <charset val="204"/>
      </rPr>
      <t>у т.ч.:</t>
    </r>
  </si>
  <si>
    <t>Планові показники на 2018 рік</t>
  </si>
  <si>
    <t xml:space="preserve"> - тягового пасажирського р.с. (ЦРП)</t>
  </si>
  <si>
    <t xml:space="preserve"> - тягового вантажного р.с. (ЦТ)</t>
  </si>
  <si>
    <t xml:space="preserve"> - тягового  вантажного р. с. (ЦТ)</t>
  </si>
  <si>
    <t xml:space="preserve"> - тягового вантажного р. с. (ЦТ)</t>
  </si>
  <si>
    <t xml:space="preserve"> - тягового пасажирського (ЦРП)</t>
  </si>
  <si>
    <t xml:space="preserve"> - іншого р.с. (інші для непередб.сітуац.)</t>
  </si>
  <si>
    <t>Придбання необоротних мат. активів</t>
  </si>
  <si>
    <t>Річний план</t>
  </si>
  <si>
    <t xml:space="preserve"> річного плану</t>
  </si>
  <si>
    <r>
      <t xml:space="preserve">згідно з </t>
    </r>
    <r>
      <rPr>
        <b/>
        <sz val="11"/>
        <color rgb="FF000000"/>
        <rFont val="Times New Roman"/>
        <family val="1"/>
        <charset val="204"/>
      </rPr>
      <t>КЗ</t>
    </r>
    <r>
      <rPr>
        <sz val="11"/>
        <color rgb="FF000000"/>
        <rFont val="Times New Roman"/>
        <family val="1"/>
        <charset val="204"/>
      </rPr>
      <t xml:space="preserve"> (№  2-КомТ від 04.04.18)</t>
    </r>
  </si>
  <si>
    <r>
      <t xml:space="preserve">згідно з </t>
    </r>
    <r>
      <rPr>
        <b/>
        <sz val="12"/>
        <color rgb="FF000000"/>
        <rFont val="Times New Roman"/>
        <family val="1"/>
        <charset val="204"/>
      </rPr>
      <t>КЗ</t>
    </r>
    <r>
      <rPr>
        <sz val="12"/>
        <color rgb="FF000000"/>
        <rFont val="Times New Roman"/>
        <family val="1"/>
        <charset val="204"/>
      </rPr>
      <t xml:space="preserve"> (№  2-КомТ від 04.04.18)</t>
    </r>
  </si>
  <si>
    <t>4,5р.</t>
  </si>
  <si>
    <t>Сума,                     тис. грн.</t>
  </si>
  <si>
    <t>Сума,                 тис. грн.</t>
  </si>
  <si>
    <t>Сума,                        тис. грн.</t>
  </si>
  <si>
    <t>Сума,                    тис. грн.</t>
  </si>
  <si>
    <t xml:space="preserve"> плану                 1 кв.</t>
  </si>
  <si>
    <t xml:space="preserve"> плану               1 кв.</t>
  </si>
  <si>
    <r>
      <t xml:space="preserve">згідно з р. </t>
    </r>
    <r>
      <rPr>
        <b/>
        <sz val="11"/>
        <color rgb="FF000000"/>
        <rFont val="Times New Roman"/>
        <family val="1"/>
        <charset val="204"/>
      </rPr>
      <t>КМУ</t>
    </r>
    <r>
      <rPr>
        <sz val="11"/>
        <color rgb="FF000000"/>
        <rFont val="Times New Roman"/>
        <family val="1"/>
        <charset val="204"/>
      </rPr>
      <t xml:space="preserve"> (14.02.18_№ 87-р)</t>
    </r>
  </si>
  <si>
    <r>
      <t xml:space="preserve">згідно з р. </t>
    </r>
    <r>
      <rPr>
        <b/>
        <sz val="12"/>
        <color rgb="FF000000"/>
        <rFont val="Times New Roman"/>
        <family val="1"/>
        <charset val="204"/>
      </rPr>
      <t>КМУ</t>
    </r>
    <r>
      <rPr>
        <sz val="12"/>
        <color rgb="FF000000"/>
        <rFont val="Times New Roman"/>
        <family val="1"/>
        <charset val="204"/>
      </rPr>
      <t xml:space="preserve"> (14.02.18_№ 87-р)</t>
    </r>
  </si>
  <si>
    <t>Сума,                      тис. грн.</t>
  </si>
  <si>
    <t xml:space="preserve"> </t>
  </si>
  <si>
    <r>
      <t xml:space="preserve">План 4 міс. </t>
    </r>
    <r>
      <rPr>
        <sz val="11"/>
        <color rgb="FF000000"/>
        <rFont val="Times New Roman"/>
        <family val="1"/>
        <charset val="204"/>
      </rPr>
      <t>(орієнтовно)</t>
    </r>
  </si>
  <si>
    <t>План 4 міс.</t>
  </si>
  <si>
    <t>тис.грн. (безПДВ)</t>
  </si>
  <si>
    <r>
      <t xml:space="preserve">Виконання плану освоєння капітальних інвестицій по ПАТ Укрзалізниця" </t>
    </r>
    <r>
      <rPr>
        <b/>
        <u/>
        <sz val="16"/>
        <color theme="1"/>
        <rFont val="Times New Roman"/>
        <family val="1"/>
        <charset val="204"/>
      </rPr>
      <t>за 5 місяці 2018 року</t>
    </r>
  </si>
  <si>
    <t>станом на 08.06.18 (оперативні дані)</t>
  </si>
  <si>
    <t xml:space="preserve"> 5 міс.2017 (факт)</t>
  </si>
  <si>
    <t>в8,2 р.</t>
  </si>
  <si>
    <t>в3 р.</t>
  </si>
  <si>
    <t>в 3,8 р.</t>
  </si>
  <si>
    <t xml:space="preserve">% виконання  факту 5 міс.2018 </t>
  </si>
  <si>
    <r>
      <rPr>
        <sz val="11"/>
        <color theme="1"/>
        <rFont val="Times New Roman"/>
        <family val="1"/>
        <charset val="204"/>
      </rPr>
      <t>до факту           5 міс.</t>
    </r>
    <r>
      <rPr>
        <b/>
        <sz val="11"/>
        <color theme="1"/>
        <rFont val="Times New Roman"/>
        <family val="1"/>
        <charset val="204"/>
      </rPr>
      <t xml:space="preserve">       2017р.</t>
    </r>
  </si>
  <si>
    <t>5 міс. 2018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</si>
</sst>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480000"/>
      <name val="Times New Roman"/>
      <family val="1"/>
      <charset val="204"/>
    </font>
    <font>
      <sz val="14"/>
      <color rgb="FF48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u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vertical="center" wrapText="1"/>
    </xf>
    <xf numFmtId="1" fontId="6" fillId="2" borderId="27" xfId="0" applyNumberFormat="1" applyFont="1" applyFill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33" xfId="0" applyNumberFormat="1" applyFont="1" applyFill="1" applyBorder="1" applyAlignment="1">
      <alignment horizontal="right" vertical="center" wrapText="1"/>
    </xf>
    <xf numFmtId="3" fontId="6" fillId="2" borderId="28" xfId="0" applyNumberFormat="1" applyFont="1" applyFill="1" applyBorder="1" applyAlignment="1">
      <alignment horizontal="right" vertical="center" wrapText="1"/>
    </xf>
    <xf numFmtId="165" fontId="6" fillId="2" borderId="33" xfId="0" applyNumberFormat="1" applyFont="1" applyFill="1" applyBorder="1" applyAlignment="1">
      <alignment horizontal="right" vertical="center" wrapText="1"/>
    </xf>
    <xf numFmtId="0" fontId="6" fillId="4" borderId="34" xfId="0" applyFont="1" applyFill="1" applyBorder="1" applyAlignment="1">
      <alignment vertical="center" wrapText="1"/>
    </xf>
    <xf numFmtId="1" fontId="6" fillId="4" borderId="35" xfId="0" applyNumberFormat="1" applyFont="1" applyFill="1" applyBorder="1" applyAlignment="1">
      <alignment horizontal="right" vertical="center" wrapText="1"/>
    </xf>
    <xf numFmtId="3" fontId="6" fillId="4" borderId="37" xfId="0" applyNumberFormat="1" applyFont="1" applyFill="1" applyBorder="1" applyAlignment="1">
      <alignment horizontal="right" vertical="center" wrapText="1"/>
    </xf>
    <xf numFmtId="3" fontId="6" fillId="4" borderId="38" xfId="0" applyNumberFormat="1" applyFont="1" applyFill="1" applyBorder="1" applyAlignment="1">
      <alignment horizontal="right" vertical="center" wrapText="1"/>
    </xf>
    <xf numFmtId="3" fontId="6" fillId="4" borderId="39" xfId="0" applyNumberFormat="1" applyFont="1" applyFill="1" applyBorder="1" applyAlignment="1">
      <alignment horizontal="right" vertical="center" wrapText="1"/>
    </xf>
    <xf numFmtId="3" fontId="6" fillId="4" borderId="40" xfId="0" applyNumberFormat="1" applyFont="1" applyFill="1" applyBorder="1" applyAlignment="1">
      <alignment horizontal="right" vertical="center" wrapText="1"/>
    </xf>
    <xf numFmtId="165" fontId="6" fillId="4" borderId="41" xfId="0" applyNumberFormat="1" applyFont="1" applyFill="1" applyBorder="1" applyAlignment="1">
      <alignment horizontal="right" vertical="center" wrapText="1"/>
    </xf>
    <xf numFmtId="0" fontId="3" fillId="0" borderId="29" xfId="0" applyFont="1" applyBorder="1" applyAlignment="1">
      <alignment vertical="center" wrapText="1"/>
    </xf>
    <xf numFmtId="1" fontId="3" fillId="0" borderId="42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165" fontId="3" fillId="0" borderId="45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vertical="center" wrapText="1"/>
    </xf>
    <xf numFmtId="1" fontId="6" fillId="2" borderId="42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6" fillId="2" borderId="46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3" fontId="6" fillId="2" borderId="47" xfId="0" applyNumberFormat="1" applyFont="1" applyFill="1" applyBorder="1" applyAlignment="1">
      <alignment horizontal="right" vertical="center" wrapText="1"/>
    </xf>
    <xf numFmtId="3" fontId="6" fillId="2" borderId="48" xfId="0" applyNumberFormat="1" applyFont="1" applyFill="1" applyBorder="1" applyAlignment="1">
      <alignment horizontal="right" vertical="center" wrapText="1"/>
    </xf>
    <xf numFmtId="165" fontId="6" fillId="2" borderId="45" xfId="0" applyNumberFormat="1" applyFont="1" applyFill="1" applyBorder="1" applyAlignment="1">
      <alignment horizontal="right" vertical="center" wrapText="1"/>
    </xf>
    <xf numFmtId="0" fontId="10" fillId="3" borderId="29" xfId="0" applyFont="1" applyFill="1" applyBorder="1" applyAlignment="1">
      <alignment vertical="center" wrapText="1"/>
    </xf>
    <xf numFmtId="1" fontId="10" fillId="3" borderId="42" xfId="0" applyNumberFormat="1" applyFont="1" applyFill="1" applyBorder="1" applyAlignment="1">
      <alignment horizontal="right" vertical="center" wrapText="1"/>
    </xf>
    <xf numFmtId="1" fontId="10" fillId="3" borderId="43" xfId="0" applyNumberFormat="1" applyFont="1" applyFill="1" applyBorder="1" applyAlignment="1">
      <alignment horizontal="right" vertical="center" wrapText="1"/>
    </xf>
    <xf numFmtId="3" fontId="10" fillId="3" borderId="42" xfId="0" applyNumberFormat="1" applyFont="1" applyFill="1" applyBorder="1" applyAlignment="1">
      <alignment horizontal="right" vertical="center" wrapText="1"/>
    </xf>
    <xf numFmtId="3" fontId="10" fillId="3" borderId="45" xfId="0" applyNumberFormat="1" applyFont="1" applyFill="1" applyBorder="1" applyAlignment="1">
      <alignment horizontal="right" vertical="center" wrapText="1"/>
    </xf>
    <xf numFmtId="3" fontId="10" fillId="3" borderId="47" xfId="0" applyNumberFormat="1" applyFont="1" applyFill="1" applyBorder="1" applyAlignment="1">
      <alignment horizontal="right" vertical="center" wrapText="1"/>
    </xf>
    <xf numFmtId="3" fontId="10" fillId="3" borderId="48" xfId="0" applyNumberFormat="1" applyFont="1" applyFill="1" applyBorder="1" applyAlignment="1">
      <alignment horizontal="right" vertical="center" wrapText="1"/>
    </xf>
    <xf numFmtId="165" fontId="10" fillId="3" borderId="45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1" fontId="5" fillId="0" borderId="42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165" fontId="5" fillId="0" borderId="45" xfId="0" applyNumberFormat="1" applyFont="1" applyBorder="1" applyAlignment="1">
      <alignment horizontal="right" vertical="center" wrapText="1"/>
    </xf>
    <xf numFmtId="0" fontId="3" fillId="3" borderId="29" xfId="0" applyFont="1" applyFill="1" applyBorder="1" applyAlignment="1">
      <alignment vertical="center" wrapText="1"/>
    </xf>
    <xf numFmtId="1" fontId="3" fillId="3" borderId="42" xfId="0" applyNumberFormat="1" applyFont="1" applyFill="1" applyBorder="1" applyAlignment="1">
      <alignment horizontal="right" vertical="center" wrapText="1"/>
    </xf>
    <xf numFmtId="3" fontId="3" fillId="3" borderId="44" xfId="0" applyNumberFormat="1" applyFont="1" applyFill="1" applyBorder="1" applyAlignment="1">
      <alignment horizontal="right" vertical="center" wrapText="1"/>
    </xf>
    <xf numFmtId="3" fontId="3" fillId="3" borderId="46" xfId="0" applyNumberFormat="1" applyFont="1" applyFill="1" applyBorder="1" applyAlignment="1">
      <alignment horizontal="right" vertical="center" wrapText="1"/>
    </xf>
    <xf numFmtId="3" fontId="3" fillId="3" borderId="47" xfId="0" applyNumberFormat="1" applyFont="1" applyFill="1" applyBorder="1" applyAlignment="1">
      <alignment horizontal="right" vertical="center" wrapText="1"/>
    </xf>
    <xf numFmtId="3" fontId="3" fillId="3" borderId="45" xfId="0" applyNumberFormat="1" applyFont="1" applyFill="1" applyBorder="1" applyAlignment="1">
      <alignment horizontal="right" vertical="center" wrapText="1"/>
    </xf>
    <xf numFmtId="3" fontId="3" fillId="3" borderId="48" xfId="0" applyNumberFormat="1" applyFont="1" applyFill="1" applyBorder="1" applyAlignment="1">
      <alignment horizontal="right" vertical="center" wrapText="1"/>
    </xf>
    <xf numFmtId="165" fontId="3" fillId="3" borderId="45" xfId="0" applyNumberFormat="1" applyFont="1" applyFill="1" applyBorder="1" applyAlignment="1">
      <alignment horizontal="right" vertical="center" wrapText="1"/>
    </xf>
    <xf numFmtId="3" fontId="10" fillId="3" borderId="44" xfId="0" applyNumberFormat="1" applyFont="1" applyFill="1" applyBorder="1" applyAlignment="1">
      <alignment horizontal="right" vertical="center" wrapText="1"/>
    </xf>
    <xf numFmtId="3" fontId="10" fillId="3" borderId="46" xfId="0" applyNumberFormat="1" applyFont="1" applyFill="1" applyBorder="1" applyAlignment="1">
      <alignment horizontal="right" vertical="center" wrapText="1"/>
    </xf>
    <xf numFmtId="3" fontId="14" fillId="3" borderId="47" xfId="0" applyNumberFormat="1" applyFont="1" applyFill="1" applyBorder="1" applyAlignment="1">
      <alignment horizontal="right" vertical="center" wrapText="1"/>
    </xf>
    <xf numFmtId="3" fontId="13" fillId="0" borderId="46" xfId="0" applyNumberFormat="1" applyFont="1" applyBorder="1" applyAlignment="1">
      <alignment horizontal="right" vertical="center" wrapText="1"/>
    </xf>
    <xf numFmtId="3" fontId="13" fillId="0" borderId="47" xfId="0" applyNumberFormat="1" applyFont="1" applyBorder="1" applyAlignment="1">
      <alignment horizontal="right" vertical="center" wrapText="1"/>
    </xf>
    <xf numFmtId="1" fontId="2" fillId="0" borderId="42" xfId="0" applyNumberFormat="1" applyFont="1" applyBorder="1" applyAlignment="1">
      <alignment horizontal="right" vertical="center" wrapText="1"/>
    </xf>
    <xf numFmtId="3" fontId="15" fillId="2" borderId="47" xfId="0" applyNumberFormat="1" applyFont="1" applyFill="1" applyBorder="1" applyAlignment="1">
      <alignment horizontal="right" vertical="center" wrapText="1"/>
    </xf>
    <xf numFmtId="3" fontId="6" fillId="2" borderId="31" xfId="0" applyNumberFormat="1" applyFont="1" applyFill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6" fillId="2" borderId="43" xfId="0" applyNumberFormat="1" applyFont="1" applyFill="1" applyBorder="1" applyAlignment="1">
      <alignment horizontal="right" vertical="center" wrapText="1"/>
    </xf>
    <xf numFmtId="3" fontId="10" fillId="3" borderId="43" xfId="0" applyNumberFormat="1" applyFont="1" applyFill="1" applyBorder="1" applyAlignment="1">
      <alignment horizontal="right" vertical="center" wrapText="1"/>
    </xf>
    <xf numFmtId="3" fontId="3" fillId="3" borderId="43" xfId="0" applyNumberFormat="1" applyFont="1" applyFill="1" applyBorder="1" applyAlignment="1">
      <alignment horizontal="right" vertical="center" wrapText="1"/>
    </xf>
    <xf numFmtId="3" fontId="6" fillId="4" borderId="36" xfId="0" applyNumberFormat="1" applyFont="1" applyFill="1" applyBorder="1" applyAlignment="1">
      <alignment horizontal="righ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right" vertical="center" wrapText="1"/>
    </xf>
    <xf numFmtId="165" fontId="3" fillId="0" borderId="47" xfId="0" applyNumberFormat="1" applyFont="1" applyBorder="1" applyAlignment="1">
      <alignment horizontal="right" vertical="center" wrapText="1"/>
    </xf>
    <xf numFmtId="165" fontId="6" fillId="2" borderId="47" xfId="0" applyNumberFormat="1" applyFont="1" applyFill="1" applyBorder="1" applyAlignment="1">
      <alignment horizontal="right" vertical="center" wrapText="1"/>
    </xf>
    <xf numFmtId="165" fontId="10" fillId="3" borderId="47" xfId="0" applyNumberFormat="1" applyFont="1" applyFill="1" applyBorder="1" applyAlignment="1">
      <alignment horizontal="right" vertical="center" wrapText="1"/>
    </xf>
    <xf numFmtId="165" fontId="5" fillId="0" borderId="47" xfId="0" applyNumberFormat="1" applyFont="1" applyBorder="1" applyAlignment="1">
      <alignment horizontal="right" vertical="center" wrapText="1"/>
    </xf>
    <xf numFmtId="165" fontId="3" fillId="3" borderId="47" xfId="0" applyNumberFormat="1" applyFont="1" applyFill="1" applyBorder="1" applyAlignment="1">
      <alignment horizontal="right" vertical="center" wrapText="1"/>
    </xf>
    <xf numFmtId="165" fontId="6" fillId="4" borderId="39" xfId="0" applyNumberFormat="1" applyFont="1" applyFill="1" applyBorder="1" applyAlignment="1">
      <alignment horizontal="right" vertical="center" wrapText="1"/>
    </xf>
    <xf numFmtId="0" fontId="16" fillId="0" borderId="49" xfId="0" applyFont="1" applyBorder="1" applyAlignment="1">
      <alignment horizontal="center" vertical="center" wrapText="1"/>
    </xf>
    <xf numFmtId="165" fontId="6" fillId="2" borderId="50" xfId="0" applyNumberFormat="1" applyFont="1" applyFill="1" applyBorder="1" applyAlignment="1">
      <alignment horizontal="right" vertical="center" wrapText="1"/>
    </xf>
    <xf numFmtId="165" fontId="3" fillId="0" borderId="51" xfId="0" applyNumberFormat="1" applyFont="1" applyBorder="1" applyAlignment="1">
      <alignment horizontal="right" vertical="center" wrapText="1"/>
    </xf>
    <xf numFmtId="165" fontId="6" fillId="2" borderId="51" xfId="0" applyNumberFormat="1" applyFont="1" applyFill="1" applyBorder="1" applyAlignment="1">
      <alignment horizontal="right" vertical="center" wrapText="1"/>
    </xf>
    <xf numFmtId="165" fontId="10" fillId="3" borderId="51" xfId="0" applyNumberFormat="1" applyFont="1" applyFill="1" applyBorder="1" applyAlignment="1">
      <alignment horizontal="right" vertical="center" wrapText="1"/>
    </xf>
    <xf numFmtId="165" fontId="5" fillId="0" borderId="51" xfId="0" applyNumberFormat="1" applyFont="1" applyBorder="1" applyAlignment="1">
      <alignment horizontal="right" vertical="center" wrapText="1"/>
    </xf>
    <xf numFmtId="165" fontId="3" fillId="3" borderId="51" xfId="0" applyNumberFormat="1" applyFont="1" applyFill="1" applyBorder="1" applyAlignment="1">
      <alignment horizontal="right" vertical="center" wrapText="1"/>
    </xf>
    <xf numFmtId="165" fontId="6" fillId="4" borderId="52" xfId="0" applyNumberFormat="1" applyFont="1" applyFill="1" applyBorder="1" applyAlignment="1">
      <alignment horizontal="right" vertical="center" wrapText="1"/>
    </xf>
    <xf numFmtId="165" fontId="23" fillId="0" borderId="51" xfId="0" applyNumberFormat="1" applyFont="1" applyBorder="1" applyAlignment="1">
      <alignment horizontal="right" vertical="center" wrapText="1"/>
    </xf>
    <xf numFmtId="165" fontId="19" fillId="0" borderId="51" xfId="0" applyNumberFormat="1" applyFont="1" applyBorder="1" applyAlignment="1">
      <alignment horizontal="right" vertical="center" wrapText="1"/>
    </xf>
    <xf numFmtId="0" fontId="25" fillId="0" borderId="0" xfId="0" applyFont="1"/>
    <xf numFmtId="0" fontId="25" fillId="0" borderId="0" xfId="0" applyFont="1" applyAlignment="1">
      <alignment horizontal="right"/>
    </xf>
    <xf numFmtId="3" fontId="6" fillId="4" borderId="41" xfId="0" applyNumberFormat="1" applyFont="1" applyFill="1" applyBorder="1" applyAlignment="1">
      <alignment horizontal="right" vertical="center" wrapText="1"/>
    </xf>
    <xf numFmtId="0" fontId="10" fillId="3" borderId="55" xfId="0" applyFont="1" applyFill="1" applyBorder="1" applyAlignment="1">
      <alignment vertical="center" wrapText="1"/>
    </xf>
    <xf numFmtId="1" fontId="10" fillId="3" borderId="56" xfId="0" applyNumberFormat="1" applyFont="1" applyFill="1" applyBorder="1" applyAlignment="1">
      <alignment horizontal="right" vertical="center" wrapText="1"/>
    </xf>
    <xf numFmtId="3" fontId="10" fillId="3" borderId="57" xfId="0" applyNumberFormat="1" applyFont="1" applyFill="1" applyBorder="1" applyAlignment="1">
      <alignment horizontal="right" vertical="center" wrapText="1"/>
    </xf>
    <xf numFmtId="3" fontId="10" fillId="3" borderId="58" xfId="0" applyNumberFormat="1" applyFont="1" applyFill="1" applyBorder="1" applyAlignment="1">
      <alignment horizontal="right" vertical="center" wrapText="1"/>
    </xf>
    <xf numFmtId="3" fontId="10" fillId="3" borderId="59" xfId="0" applyNumberFormat="1" applyFont="1" applyFill="1" applyBorder="1" applyAlignment="1">
      <alignment horizontal="right" vertical="center" wrapText="1"/>
    </xf>
    <xf numFmtId="3" fontId="14" fillId="3" borderId="60" xfId="0" applyNumberFormat="1" applyFont="1" applyFill="1" applyBorder="1" applyAlignment="1">
      <alignment horizontal="right" vertical="center" wrapText="1"/>
    </xf>
    <xf numFmtId="3" fontId="10" fillId="3" borderId="61" xfId="0" applyNumberFormat="1" applyFont="1" applyFill="1" applyBorder="1" applyAlignment="1">
      <alignment horizontal="right" vertical="center" wrapText="1"/>
    </xf>
    <xf numFmtId="3" fontId="10" fillId="3" borderId="62" xfId="0" applyNumberFormat="1" applyFont="1" applyFill="1" applyBorder="1" applyAlignment="1">
      <alignment horizontal="right" vertical="center" wrapText="1"/>
    </xf>
    <xf numFmtId="165" fontId="10" fillId="3" borderId="61" xfId="0" applyNumberFormat="1" applyFont="1" applyFill="1" applyBorder="1" applyAlignment="1">
      <alignment horizontal="right" vertical="center" wrapText="1"/>
    </xf>
    <xf numFmtId="165" fontId="10" fillId="3" borderId="60" xfId="0" applyNumberFormat="1" applyFont="1" applyFill="1" applyBorder="1" applyAlignment="1">
      <alignment horizontal="right" vertical="center" wrapText="1"/>
    </xf>
    <xf numFmtId="165" fontId="20" fillId="3" borderId="63" xfId="0" applyNumberFormat="1" applyFont="1" applyFill="1" applyBorder="1" applyAlignment="1">
      <alignment horizontal="right" vertical="center" wrapText="1"/>
    </xf>
    <xf numFmtId="3" fontId="22" fillId="3" borderId="46" xfId="0" applyNumberFormat="1" applyFont="1" applyFill="1" applyBorder="1" applyAlignment="1">
      <alignment horizontal="right" vertical="center" wrapText="1"/>
    </xf>
    <xf numFmtId="3" fontId="22" fillId="3" borderId="59" xfId="0" applyNumberFormat="1" applyFont="1" applyFill="1" applyBorder="1" applyAlignment="1">
      <alignment horizontal="right" vertical="center" wrapText="1"/>
    </xf>
    <xf numFmtId="165" fontId="6" fillId="2" borderId="64" xfId="0" applyNumberFormat="1" applyFont="1" applyFill="1" applyBorder="1" applyAlignment="1">
      <alignment horizontal="right" vertical="center" wrapText="1"/>
    </xf>
    <xf numFmtId="165" fontId="3" fillId="0" borderId="65" xfId="0" applyNumberFormat="1" applyFont="1" applyBorder="1" applyAlignment="1">
      <alignment horizontal="right" vertical="center" wrapText="1"/>
    </xf>
    <xf numFmtId="165" fontId="6" fillId="2" borderId="65" xfId="0" applyNumberFormat="1" applyFont="1" applyFill="1" applyBorder="1" applyAlignment="1">
      <alignment horizontal="right" vertical="center" wrapText="1"/>
    </xf>
    <xf numFmtId="165" fontId="10" fillId="3" borderId="65" xfId="0" applyNumberFormat="1" applyFont="1" applyFill="1" applyBorder="1" applyAlignment="1">
      <alignment horizontal="right" vertical="center" wrapText="1"/>
    </xf>
    <xf numFmtId="165" fontId="5" fillId="0" borderId="65" xfId="0" applyNumberFormat="1" applyFont="1" applyBorder="1" applyAlignment="1">
      <alignment horizontal="right" vertical="center" wrapText="1"/>
    </xf>
    <xf numFmtId="165" fontId="3" fillId="3" borderId="65" xfId="0" applyNumberFormat="1" applyFont="1" applyFill="1" applyBorder="1" applyAlignment="1">
      <alignment horizontal="right" vertical="center" wrapText="1"/>
    </xf>
    <xf numFmtId="165" fontId="10" fillId="3" borderId="66" xfId="0" applyNumberFormat="1" applyFont="1" applyFill="1" applyBorder="1" applyAlignment="1">
      <alignment horizontal="right" vertical="center" wrapText="1"/>
    </xf>
    <xf numFmtId="165" fontId="6" fillId="4" borderId="67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3" fontId="6" fillId="2" borderId="27" xfId="0" applyNumberFormat="1" applyFont="1" applyFill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6" fillId="2" borderId="42" xfId="0" applyNumberFormat="1" applyFont="1" applyFill="1" applyBorder="1" applyAlignment="1">
      <alignment horizontal="right" vertical="center" wrapText="1"/>
    </xf>
    <xf numFmtId="3" fontId="5" fillId="5" borderId="42" xfId="0" applyNumberFormat="1" applyFont="1" applyFill="1" applyBorder="1" applyAlignment="1">
      <alignment horizontal="right" vertical="center" wrapText="1"/>
    </xf>
    <xf numFmtId="3" fontId="5" fillId="5" borderId="43" xfId="0" applyNumberFormat="1" applyFont="1" applyFill="1" applyBorder="1" applyAlignment="1">
      <alignment horizontal="right" vertical="center" wrapText="1"/>
    </xf>
    <xf numFmtId="3" fontId="3" fillId="3" borderId="42" xfId="0" applyNumberFormat="1" applyFont="1" applyFill="1" applyBorder="1" applyAlignment="1">
      <alignment horizontal="right" vertical="center" wrapText="1"/>
    </xf>
    <xf numFmtId="3" fontId="2" fillId="5" borderId="42" xfId="0" applyNumberFormat="1" applyFont="1" applyFill="1" applyBorder="1" applyAlignment="1">
      <alignment horizontal="right" vertical="center" wrapText="1"/>
    </xf>
    <xf numFmtId="3" fontId="10" fillId="3" borderId="5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 applyFont="1"/>
    <xf numFmtId="3" fontId="25" fillId="5" borderId="42" xfId="0" applyNumberFormat="1" applyFont="1" applyFill="1" applyBorder="1" applyAlignment="1">
      <alignment horizontal="right" vertical="center" wrapText="1"/>
    </xf>
    <xf numFmtId="165" fontId="13" fillId="0" borderId="51" xfId="0" applyNumberFormat="1" applyFont="1" applyBorder="1" applyAlignment="1">
      <alignment horizontal="right" vertical="center" wrapText="1"/>
    </xf>
    <xf numFmtId="165" fontId="27" fillId="0" borderId="51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1" fontId="25" fillId="0" borderId="0" xfId="0" applyNumberFormat="1" applyFont="1" applyBorder="1" applyAlignment="1">
      <alignment horizontal="right" vertical="center" wrapText="1"/>
    </xf>
    <xf numFmtId="1" fontId="28" fillId="0" borderId="42" xfId="0" applyNumberFormat="1" applyFont="1" applyBorder="1" applyAlignment="1">
      <alignment horizontal="right" vertical="center" wrapText="1"/>
    </xf>
    <xf numFmtId="164" fontId="3" fillId="0" borderId="42" xfId="0" applyNumberFormat="1" applyFont="1" applyBorder="1" applyAlignment="1">
      <alignment horizontal="right" vertical="center" wrapText="1"/>
    </xf>
    <xf numFmtId="164" fontId="4" fillId="0" borderId="42" xfId="0" applyNumberFormat="1" applyFont="1" applyBorder="1" applyAlignment="1">
      <alignment horizontal="right" vertical="center" wrapText="1"/>
    </xf>
    <xf numFmtId="165" fontId="4" fillId="5" borderId="42" xfId="0" applyNumberFormat="1" applyFont="1" applyFill="1" applyBorder="1" applyAlignment="1">
      <alignment horizontal="right" vertical="center" wrapText="1"/>
    </xf>
    <xf numFmtId="3" fontId="3" fillId="6" borderId="43" xfId="0" applyNumberFormat="1" applyFont="1" applyFill="1" applyBorder="1" applyAlignment="1">
      <alignment horizontal="right" vertical="center" wrapText="1"/>
    </xf>
    <xf numFmtId="3" fontId="5" fillId="6" borderId="43" xfId="0" applyNumberFormat="1" applyFont="1" applyFill="1" applyBorder="1" applyAlignment="1">
      <alignment horizontal="righ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48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63"/>
  <sheetViews>
    <sheetView tabSelected="1" view="pageBreakPreview" zoomScale="60" zoomScaleNormal="80" workbookViewId="0">
      <selection activeCell="J3" sqref="J3:K5"/>
    </sheetView>
  </sheetViews>
  <sheetFormatPr defaultRowHeight="15" x14ac:dyDescent="0.25"/>
  <cols>
    <col min="1" max="1" width="47.85546875" customWidth="1"/>
    <col min="2" max="2" width="7.85546875" style="7" customWidth="1"/>
    <col min="3" max="3" width="13.5703125" style="7" customWidth="1"/>
    <col min="4" max="4" width="9.28515625" style="7" customWidth="1"/>
    <col min="5" max="5" width="14.85546875" style="7" customWidth="1"/>
    <col min="6" max="6" width="13" style="7" hidden="1" customWidth="1"/>
    <col min="7" max="7" width="8.42578125" style="7" hidden="1" customWidth="1"/>
    <col min="8" max="8" width="14.28515625" style="7" hidden="1" customWidth="1"/>
    <col min="9" max="9" width="13" style="7" hidden="1" customWidth="1"/>
    <col min="10" max="10" width="8.140625" style="7" customWidth="1"/>
    <col min="11" max="11" width="13.28515625" style="7" customWidth="1"/>
    <col min="12" max="12" width="12" style="7" customWidth="1"/>
    <col min="13" max="13" width="8.7109375" style="7" hidden="1" customWidth="1"/>
    <col min="14" max="14" width="8.42578125" style="7" hidden="1" customWidth="1"/>
    <col min="15" max="15" width="5.7109375" style="7" hidden="1" customWidth="1"/>
    <col min="16" max="16" width="9.28515625" customWidth="1"/>
    <col min="17" max="19" width="7.7109375" customWidth="1"/>
  </cols>
  <sheetData>
    <row r="1" spans="1:19" s="105" customFormat="1" ht="84" customHeight="1" x14ac:dyDescent="0.3">
      <c r="A1" s="161" t="s">
        <v>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9" s="105" customFormat="1" ht="27" customHeight="1" thickBot="1" x14ac:dyDescent="0.35">
      <c r="A2" s="105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91" t="s">
        <v>49</v>
      </c>
      <c r="M2" s="191"/>
      <c r="N2" s="191"/>
      <c r="O2" s="191"/>
      <c r="P2" s="191"/>
    </row>
    <row r="3" spans="1:19" ht="43.5" customHeight="1" x14ac:dyDescent="0.25">
      <c r="A3" s="162" t="s">
        <v>0</v>
      </c>
      <c r="B3" s="153" t="s">
        <v>52</v>
      </c>
      <c r="C3" s="155"/>
      <c r="D3" s="188" t="s">
        <v>24</v>
      </c>
      <c r="E3" s="189"/>
      <c r="F3" s="189"/>
      <c r="G3" s="189"/>
      <c r="H3" s="189"/>
      <c r="I3" s="190"/>
      <c r="J3" s="176" t="s">
        <v>58</v>
      </c>
      <c r="K3" s="177"/>
      <c r="L3" s="153" t="s">
        <v>56</v>
      </c>
      <c r="M3" s="154"/>
      <c r="N3" s="154"/>
      <c r="O3" s="154"/>
      <c r="P3" s="155"/>
    </row>
    <row r="4" spans="1:19" ht="37.5" customHeight="1" x14ac:dyDescent="0.25">
      <c r="A4" s="163"/>
      <c r="B4" s="172"/>
      <c r="C4" s="173"/>
      <c r="D4" s="182" t="s">
        <v>44</v>
      </c>
      <c r="E4" s="183"/>
      <c r="F4" s="184"/>
      <c r="G4" s="185" t="s">
        <v>35</v>
      </c>
      <c r="H4" s="186"/>
      <c r="I4" s="187"/>
      <c r="J4" s="178"/>
      <c r="K4" s="179"/>
      <c r="L4" s="165" t="s">
        <v>43</v>
      </c>
      <c r="M4" s="166"/>
      <c r="N4" s="159" t="s">
        <v>34</v>
      </c>
      <c r="O4" s="159"/>
      <c r="P4" s="156" t="s">
        <v>57</v>
      </c>
    </row>
    <row r="5" spans="1:19" ht="31.5" customHeight="1" x14ac:dyDescent="0.25">
      <c r="A5" s="163"/>
      <c r="B5" s="174"/>
      <c r="C5" s="175"/>
      <c r="D5" s="169" t="s">
        <v>32</v>
      </c>
      <c r="E5" s="170"/>
      <c r="F5" s="3" t="s">
        <v>47</v>
      </c>
      <c r="G5" s="171" t="s">
        <v>32</v>
      </c>
      <c r="H5" s="170"/>
      <c r="I5" s="11" t="s">
        <v>48</v>
      </c>
      <c r="J5" s="180"/>
      <c r="K5" s="181"/>
      <c r="L5" s="167"/>
      <c r="M5" s="168"/>
      <c r="N5" s="160"/>
      <c r="O5" s="160"/>
      <c r="P5" s="157"/>
    </row>
    <row r="6" spans="1:19" ht="60" x14ac:dyDescent="0.25">
      <c r="A6" s="164"/>
      <c r="B6" s="12" t="s">
        <v>1</v>
      </c>
      <c r="C6" s="13" t="s">
        <v>40</v>
      </c>
      <c r="D6" s="12" t="s">
        <v>1</v>
      </c>
      <c r="E6" s="4" t="s">
        <v>37</v>
      </c>
      <c r="F6" s="4" t="s">
        <v>45</v>
      </c>
      <c r="G6" s="2" t="s">
        <v>1</v>
      </c>
      <c r="H6" s="4" t="s">
        <v>38</v>
      </c>
      <c r="I6" s="13" t="s">
        <v>39</v>
      </c>
      <c r="J6" s="85" t="s">
        <v>1</v>
      </c>
      <c r="K6" s="86" t="s">
        <v>45</v>
      </c>
      <c r="L6" s="15" t="s">
        <v>33</v>
      </c>
      <c r="M6" s="129" t="s">
        <v>41</v>
      </c>
      <c r="N6" s="15" t="s">
        <v>33</v>
      </c>
      <c r="O6" s="129" t="s">
        <v>42</v>
      </c>
      <c r="P6" s="158"/>
    </row>
    <row r="7" spans="1:19" ht="18.75" x14ac:dyDescent="0.25">
      <c r="A7" s="14">
        <v>1</v>
      </c>
      <c r="B7" s="12">
        <v>2</v>
      </c>
      <c r="C7" s="13">
        <v>3</v>
      </c>
      <c r="D7" s="12">
        <v>4</v>
      </c>
      <c r="E7" s="3">
        <v>5</v>
      </c>
      <c r="F7" s="3">
        <v>6</v>
      </c>
      <c r="G7" s="9">
        <v>7</v>
      </c>
      <c r="H7" s="4">
        <v>8</v>
      </c>
      <c r="I7" s="11">
        <v>9</v>
      </c>
      <c r="J7" s="87">
        <v>10</v>
      </c>
      <c r="K7" s="86">
        <v>11</v>
      </c>
      <c r="L7" s="15">
        <v>12</v>
      </c>
      <c r="M7" s="130">
        <v>13</v>
      </c>
      <c r="N7" s="10">
        <v>14</v>
      </c>
      <c r="O7" s="129">
        <v>15</v>
      </c>
      <c r="P7" s="95">
        <v>16</v>
      </c>
    </row>
    <row r="8" spans="1:19" s="5" customFormat="1" ht="30" customHeight="1" x14ac:dyDescent="0.25">
      <c r="A8" s="16" t="s">
        <v>20</v>
      </c>
      <c r="B8" s="17"/>
      <c r="C8" s="79">
        <v>799184</v>
      </c>
      <c r="D8" s="18"/>
      <c r="E8" s="19">
        <v>4879435</v>
      </c>
      <c r="F8" s="19">
        <f>461000+ROUND(1280000/3,0)</f>
        <v>887667</v>
      </c>
      <c r="G8" s="20"/>
      <c r="H8" s="21">
        <v>4960525</v>
      </c>
      <c r="I8" s="22">
        <v>1006782</v>
      </c>
      <c r="J8" s="131"/>
      <c r="K8" s="79">
        <v>984718</v>
      </c>
      <c r="L8" s="121">
        <f t="shared" ref="L8:L19" si="0">K8/E8*100</f>
        <v>20.180984068852233</v>
      </c>
      <c r="M8" s="23">
        <f>K8/F8*100</f>
        <v>110.93326664165728</v>
      </c>
      <c r="N8" s="88">
        <f t="shared" ref="N8:N44" si="1">K8/H8*100</f>
        <v>19.851084310632444</v>
      </c>
      <c r="O8" s="23">
        <f>K8/I8*100</f>
        <v>97.808463003907491</v>
      </c>
      <c r="P8" s="96">
        <f>K8/C8*100</f>
        <v>123.2154297383331</v>
      </c>
    </row>
    <row r="9" spans="1:19" s="1" customFormat="1" ht="18.75" x14ac:dyDescent="0.25">
      <c r="A9" s="31" t="s">
        <v>2</v>
      </c>
      <c r="B9" s="32"/>
      <c r="C9" s="151">
        <v>200170</v>
      </c>
      <c r="D9" s="33"/>
      <c r="E9" s="34">
        <v>328000</v>
      </c>
      <c r="F9" s="35"/>
      <c r="G9" s="36"/>
      <c r="H9" s="34">
        <v>328000</v>
      </c>
      <c r="I9" s="37">
        <v>246666</v>
      </c>
      <c r="J9" s="132"/>
      <c r="K9" s="151">
        <v>318530</v>
      </c>
      <c r="L9" s="122">
        <f t="shared" si="0"/>
        <v>97.112804878048777</v>
      </c>
      <c r="M9" s="38"/>
      <c r="N9" s="89">
        <f t="shared" si="1"/>
        <v>97.112804878048777</v>
      </c>
      <c r="O9" s="38">
        <f t="shared" ref="O9:O44" si="2">K9/I9*100</f>
        <v>129.1341327949535</v>
      </c>
      <c r="P9" s="97">
        <f t="shared" ref="P9:P44" si="3">K9/C9*100</f>
        <v>159.12973972123694</v>
      </c>
    </row>
    <row r="10" spans="1:19" s="1" customFormat="1" ht="18.75" x14ac:dyDescent="0.25">
      <c r="A10" s="31" t="s">
        <v>21</v>
      </c>
      <c r="B10" s="149">
        <v>71.599999999999994</v>
      </c>
      <c r="C10" s="151">
        <v>471771</v>
      </c>
      <c r="D10" s="33">
        <v>300</v>
      </c>
      <c r="E10" s="34">
        <v>1907990</v>
      </c>
      <c r="F10" s="35"/>
      <c r="G10" s="89">
        <v>307.5</v>
      </c>
      <c r="H10" s="34">
        <v>1907990</v>
      </c>
      <c r="I10" s="37">
        <v>460406</v>
      </c>
      <c r="J10" s="150">
        <v>81.7</v>
      </c>
      <c r="K10" s="151">
        <v>503241</v>
      </c>
      <c r="L10" s="122">
        <f t="shared" si="0"/>
        <v>26.375452701534073</v>
      </c>
      <c r="M10" s="38"/>
      <c r="N10" s="89">
        <f t="shared" si="1"/>
        <v>26.375452701534073</v>
      </c>
      <c r="O10" s="38">
        <f t="shared" si="2"/>
        <v>109.30374495553924</v>
      </c>
      <c r="P10" s="97">
        <f t="shared" si="3"/>
        <v>106.67060925745753</v>
      </c>
    </row>
    <row r="11" spans="1:19" s="5" customFormat="1" ht="28.5" customHeight="1" x14ac:dyDescent="0.25">
      <c r="A11" s="39" t="s">
        <v>22</v>
      </c>
      <c r="B11" s="40"/>
      <c r="C11" s="81">
        <f>C12+C21</f>
        <v>557500</v>
      </c>
      <c r="D11" s="41"/>
      <c r="E11" s="42">
        <f>E12+E21</f>
        <v>11948200</v>
      </c>
      <c r="F11" s="43">
        <f>F12+F21</f>
        <v>1149999</v>
      </c>
      <c r="G11" s="44"/>
      <c r="H11" s="43">
        <f>H12+H21</f>
        <v>11706968</v>
      </c>
      <c r="I11" s="45">
        <f>I12+I21</f>
        <v>1833515</v>
      </c>
      <c r="J11" s="134">
        <f>J12+J21</f>
        <v>1605</v>
      </c>
      <c r="K11" s="81">
        <f>K12+K21</f>
        <v>1747738</v>
      </c>
      <c r="L11" s="123">
        <f t="shared" si="0"/>
        <v>14.6276259185484</v>
      </c>
      <c r="M11" s="46">
        <f>K11/F11*100</f>
        <v>151.97734954552132</v>
      </c>
      <c r="N11" s="90">
        <f t="shared" si="1"/>
        <v>14.929040550892426</v>
      </c>
      <c r="O11" s="46">
        <f t="shared" si="2"/>
        <v>95.321718120658943</v>
      </c>
      <c r="P11" s="98">
        <f t="shared" si="3"/>
        <v>313.49560538116589</v>
      </c>
    </row>
    <row r="12" spans="1:19" s="6" customFormat="1" ht="19.5" x14ac:dyDescent="0.25">
      <c r="A12" s="47" t="s">
        <v>3</v>
      </c>
      <c r="B12" s="48"/>
      <c r="C12" s="82">
        <f>C15+C18</f>
        <v>522975</v>
      </c>
      <c r="D12" s="50"/>
      <c r="E12" s="51">
        <f>E13+E14+E15+E18+E19</f>
        <v>11548200</v>
      </c>
      <c r="F12" s="51">
        <f>F13+F14+F15+F18+F19+F20</f>
        <v>1066666</v>
      </c>
      <c r="G12" s="52"/>
      <c r="H12" s="51">
        <f>H13+H14+H15+H18+H19+H20</f>
        <v>10524600</v>
      </c>
      <c r="I12" s="53">
        <f>I13+I14+I15+I18+I19+I20</f>
        <v>1732000</v>
      </c>
      <c r="J12" s="50">
        <f>J15+J18</f>
        <v>1605</v>
      </c>
      <c r="K12" s="82">
        <f>K15+K18</f>
        <v>1677117</v>
      </c>
      <c r="L12" s="124">
        <f t="shared" si="0"/>
        <v>14.522756793266483</v>
      </c>
      <c r="M12" s="54">
        <f>K12/F12*100</f>
        <v>157.22981701863563</v>
      </c>
      <c r="N12" s="91">
        <f t="shared" si="1"/>
        <v>15.935208939057066</v>
      </c>
      <c r="O12" s="54">
        <f t="shared" si="2"/>
        <v>96.831235565819867</v>
      </c>
      <c r="P12" s="99">
        <f t="shared" si="3"/>
        <v>320.68779578373727</v>
      </c>
    </row>
    <row r="13" spans="1:19" s="1" customFormat="1" ht="18.75" x14ac:dyDescent="0.25">
      <c r="A13" s="31" t="s">
        <v>26</v>
      </c>
      <c r="B13" s="32"/>
      <c r="C13" s="151"/>
      <c r="D13" s="55">
        <v>25</v>
      </c>
      <c r="E13" s="34">
        <f>3107000-250000</f>
        <v>2857000</v>
      </c>
      <c r="F13" s="35"/>
      <c r="G13" s="36">
        <v>15</v>
      </c>
      <c r="H13" s="34">
        <f>1964000-250000</f>
        <v>1714000</v>
      </c>
      <c r="I13" s="37"/>
      <c r="J13" s="132"/>
      <c r="K13" s="133"/>
      <c r="L13" s="122">
        <f t="shared" si="0"/>
        <v>0</v>
      </c>
      <c r="M13" s="38"/>
      <c r="N13" s="89">
        <f t="shared" si="1"/>
        <v>0</v>
      </c>
      <c r="O13" s="38"/>
      <c r="P13" s="144" t="e">
        <f t="shared" si="3"/>
        <v>#DIV/0!</v>
      </c>
    </row>
    <row r="14" spans="1:19" s="1" customFormat="1" ht="18.75" x14ac:dyDescent="0.25">
      <c r="A14" s="31" t="s">
        <v>25</v>
      </c>
      <c r="B14" s="32"/>
      <c r="C14" s="151"/>
      <c r="D14" s="55"/>
      <c r="E14" s="34">
        <v>250000</v>
      </c>
      <c r="F14" s="35"/>
      <c r="G14" s="36"/>
      <c r="H14" s="34">
        <v>250000</v>
      </c>
      <c r="I14" s="37"/>
      <c r="J14" s="132"/>
      <c r="K14" s="133"/>
      <c r="L14" s="122">
        <f t="shared" si="0"/>
        <v>0</v>
      </c>
      <c r="M14" s="38"/>
      <c r="N14" s="89">
        <f t="shared" si="1"/>
        <v>0</v>
      </c>
      <c r="O14" s="38"/>
      <c r="P14" s="144" t="e">
        <f t="shared" si="3"/>
        <v>#DIV/0!</v>
      </c>
      <c r="S14" s="1" t="s">
        <v>46</v>
      </c>
    </row>
    <row r="15" spans="1:19" s="1" customFormat="1" ht="19.5" x14ac:dyDescent="0.25">
      <c r="A15" s="31" t="s">
        <v>4</v>
      </c>
      <c r="B15" s="32">
        <f>B16+B17</f>
        <v>404</v>
      </c>
      <c r="C15" s="151">
        <f t="shared" ref="C15" si="4">C16+C17</f>
        <v>346962</v>
      </c>
      <c r="D15" s="55">
        <f t="shared" ref="D15:J15" si="5">D16+D17</f>
        <v>7150</v>
      </c>
      <c r="E15" s="34">
        <f t="shared" si="5"/>
        <v>7134000</v>
      </c>
      <c r="F15" s="35">
        <f t="shared" si="5"/>
        <v>1066666</v>
      </c>
      <c r="G15" s="36">
        <f t="shared" si="5"/>
        <v>7151</v>
      </c>
      <c r="H15" s="34">
        <f t="shared" si="5"/>
        <v>7140270</v>
      </c>
      <c r="I15" s="37">
        <f t="shared" si="5"/>
        <v>1732000</v>
      </c>
      <c r="J15" s="132">
        <f t="shared" si="5"/>
        <v>1605</v>
      </c>
      <c r="K15" s="133">
        <f t="shared" ref="K15" si="6">K16+K17</f>
        <v>1677117</v>
      </c>
      <c r="L15" s="122">
        <f t="shared" si="0"/>
        <v>23.50878889823381</v>
      </c>
      <c r="M15" s="38">
        <f>K15/F15*100</f>
        <v>157.22981701863563</v>
      </c>
      <c r="N15" s="89">
        <f t="shared" si="1"/>
        <v>23.488145406266149</v>
      </c>
      <c r="O15" s="38">
        <f t="shared" si="2"/>
        <v>96.831235565819867</v>
      </c>
      <c r="P15" s="99">
        <f t="shared" si="3"/>
        <v>483.37195427741369</v>
      </c>
    </row>
    <row r="16" spans="1:19" ht="18.75" x14ac:dyDescent="0.25">
      <c r="A16" s="56" t="s">
        <v>10</v>
      </c>
      <c r="B16" s="57"/>
      <c r="C16" s="152">
        <v>15335</v>
      </c>
      <c r="D16" s="58">
        <v>3450</v>
      </c>
      <c r="E16" s="59">
        <v>3450000</v>
      </c>
      <c r="F16" s="60">
        <f>350000+ROUND(550000/3,0)</f>
        <v>533333</v>
      </c>
      <c r="G16" s="61">
        <v>3450</v>
      </c>
      <c r="H16" s="59">
        <v>3450000</v>
      </c>
      <c r="I16" s="62">
        <v>450000</v>
      </c>
      <c r="J16" s="135">
        <v>450</v>
      </c>
      <c r="K16" s="136">
        <v>462731</v>
      </c>
      <c r="L16" s="125">
        <f t="shared" si="0"/>
        <v>13.412492753623189</v>
      </c>
      <c r="M16" s="63">
        <f>K16/F16*100</f>
        <v>86.762116726322958</v>
      </c>
      <c r="N16" s="92">
        <f t="shared" si="1"/>
        <v>13.412492753623189</v>
      </c>
      <c r="O16" s="63">
        <f t="shared" si="2"/>
        <v>102.8291111111111</v>
      </c>
      <c r="P16" s="104">
        <f t="shared" si="3"/>
        <v>3017.4828822954028</v>
      </c>
    </row>
    <row r="17" spans="1:18" ht="18.75" x14ac:dyDescent="0.25">
      <c r="A17" s="56" t="s">
        <v>11</v>
      </c>
      <c r="B17" s="57">
        <v>404</v>
      </c>
      <c r="C17" s="152">
        <v>331627</v>
      </c>
      <c r="D17" s="58">
        <v>3700</v>
      </c>
      <c r="E17" s="59">
        <f>3600000+84000</f>
        <v>3684000</v>
      </c>
      <c r="F17" s="60">
        <f>350000+ROUND(550000/3,0)</f>
        <v>533333</v>
      </c>
      <c r="G17" s="61">
        <f>3600+100+1</f>
        <v>3701</v>
      </c>
      <c r="H17" s="59">
        <v>3690270</v>
      </c>
      <c r="I17" s="62">
        <v>1282000</v>
      </c>
      <c r="J17" s="135">
        <f>1000+155</f>
        <v>1155</v>
      </c>
      <c r="K17" s="136">
        <v>1214386</v>
      </c>
      <c r="L17" s="125">
        <f t="shared" si="0"/>
        <v>32.963789359391967</v>
      </c>
      <c r="M17" s="63">
        <f>K17/F17*100</f>
        <v>227.69751731094834</v>
      </c>
      <c r="N17" s="92">
        <f t="shared" si="1"/>
        <v>32.907781815422723</v>
      </c>
      <c r="O17" s="63">
        <f t="shared" si="2"/>
        <v>94.725897035881431</v>
      </c>
      <c r="P17" s="100">
        <f t="shared" si="3"/>
        <v>366.19032829051918</v>
      </c>
    </row>
    <row r="18" spans="1:18" s="1" customFormat="1" ht="18.75" customHeight="1" x14ac:dyDescent="0.25">
      <c r="A18" s="31" t="s">
        <v>5</v>
      </c>
      <c r="B18" s="32">
        <f>5+7</f>
        <v>12</v>
      </c>
      <c r="C18" s="151">
        <v>176013</v>
      </c>
      <c r="D18" s="55">
        <v>60</v>
      </c>
      <c r="E18" s="34">
        <v>1267200</v>
      </c>
      <c r="F18" s="35"/>
      <c r="G18" s="36">
        <v>60</v>
      </c>
      <c r="H18" s="34">
        <v>1267200</v>
      </c>
      <c r="I18" s="37"/>
      <c r="J18" s="132"/>
      <c r="K18" s="133"/>
      <c r="L18" s="122">
        <f t="shared" si="0"/>
        <v>0</v>
      </c>
      <c r="M18" s="38"/>
      <c r="N18" s="89">
        <f t="shared" si="1"/>
        <v>0</v>
      </c>
      <c r="O18" s="38"/>
      <c r="P18" s="97">
        <f t="shared" si="3"/>
        <v>0</v>
      </c>
    </row>
    <row r="19" spans="1:18" s="1" customFormat="1" ht="18.75" customHeight="1" x14ac:dyDescent="0.25">
      <c r="A19" s="31" t="s">
        <v>14</v>
      </c>
      <c r="B19" s="32"/>
      <c r="C19" s="151"/>
      <c r="D19" s="55">
        <v>1</v>
      </c>
      <c r="E19" s="34">
        <v>40000</v>
      </c>
      <c r="F19" s="35"/>
      <c r="G19" s="36">
        <v>1</v>
      </c>
      <c r="H19" s="34">
        <v>40000</v>
      </c>
      <c r="I19" s="37"/>
      <c r="J19" s="132"/>
      <c r="K19" s="133"/>
      <c r="L19" s="122">
        <f t="shared" si="0"/>
        <v>0</v>
      </c>
      <c r="M19" s="38"/>
      <c r="N19" s="89">
        <f t="shared" si="1"/>
        <v>0</v>
      </c>
      <c r="O19" s="38"/>
      <c r="P19" s="144" t="e">
        <f t="shared" si="3"/>
        <v>#DIV/0!</v>
      </c>
    </row>
    <row r="20" spans="1:18" s="1" customFormat="1" ht="18.75" customHeight="1" x14ac:dyDescent="0.25">
      <c r="A20" s="31" t="s">
        <v>30</v>
      </c>
      <c r="B20" s="32"/>
      <c r="C20" s="80"/>
      <c r="D20" s="55"/>
      <c r="E20" s="34"/>
      <c r="F20" s="35"/>
      <c r="G20" s="36"/>
      <c r="H20" s="34">
        <v>113130</v>
      </c>
      <c r="I20" s="37"/>
      <c r="J20" s="132"/>
      <c r="K20" s="133"/>
      <c r="L20" s="122"/>
      <c r="M20" s="38"/>
      <c r="N20" s="89">
        <f t="shared" si="1"/>
        <v>0</v>
      </c>
      <c r="O20" s="38"/>
      <c r="P20" s="144" t="e">
        <f t="shared" si="3"/>
        <v>#DIV/0!</v>
      </c>
    </row>
    <row r="21" spans="1:18" s="1" customFormat="1" ht="18.75" x14ac:dyDescent="0.25">
      <c r="A21" s="64" t="s">
        <v>12</v>
      </c>
      <c r="B21" s="65"/>
      <c r="C21" s="83">
        <v>34525</v>
      </c>
      <c r="D21" s="66"/>
      <c r="E21" s="67">
        <v>400000</v>
      </c>
      <c r="F21" s="67">
        <f>50000+ROUND(100000/3,0)</f>
        <v>83333</v>
      </c>
      <c r="G21" s="68"/>
      <c r="H21" s="69">
        <v>1182368</v>
      </c>
      <c r="I21" s="70">
        <v>101515</v>
      </c>
      <c r="J21" s="137"/>
      <c r="K21" s="83">
        <v>70621</v>
      </c>
      <c r="L21" s="126">
        <f t="shared" ref="L21:L44" si="7">K21/E21*100</f>
        <v>17.655249999999999</v>
      </c>
      <c r="M21" s="71">
        <f>K21/F21*100</f>
        <v>84.745538982155935</v>
      </c>
      <c r="N21" s="93">
        <f t="shared" si="1"/>
        <v>5.9728443259628134</v>
      </c>
      <c r="O21" s="71">
        <f t="shared" si="2"/>
        <v>69.567059055312015</v>
      </c>
      <c r="P21" s="101">
        <f t="shared" si="3"/>
        <v>204.55032585083273</v>
      </c>
    </row>
    <row r="22" spans="1:18" s="5" customFormat="1" ht="29.25" customHeight="1" x14ac:dyDescent="0.25">
      <c r="A22" s="39" t="s">
        <v>31</v>
      </c>
      <c r="B22" s="40"/>
      <c r="C22" s="81">
        <v>98797</v>
      </c>
      <c r="D22" s="41"/>
      <c r="E22" s="42">
        <v>400000</v>
      </c>
      <c r="F22" s="42">
        <f>60000+ROUND(80000/3,0)</f>
        <v>86667</v>
      </c>
      <c r="G22" s="44"/>
      <c r="H22" s="43">
        <v>389157</v>
      </c>
      <c r="I22" s="45">
        <v>76165</v>
      </c>
      <c r="J22" s="134"/>
      <c r="K22" s="81">
        <v>110675</v>
      </c>
      <c r="L22" s="123">
        <f t="shared" si="7"/>
        <v>27.668749999999996</v>
      </c>
      <c r="M22" s="46">
        <f>K22/F22*100</f>
        <v>127.70143191756955</v>
      </c>
      <c r="N22" s="90">
        <f t="shared" si="1"/>
        <v>28.439678587305377</v>
      </c>
      <c r="O22" s="46">
        <f t="shared" si="2"/>
        <v>145.30952537254643</v>
      </c>
      <c r="P22" s="98">
        <f t="shared" si="3"/>
        <v>112.02263226616193</v>
      </c>
    </row>
    <row r="23" spans="1:18" s="5" customFormat="1" ht="30" customHeight="1" x14ac:dyDescent="0.25">
      <c r="A23" s="39" t="s">
        <v>6</v>
      </c>
      <c r="B23" s="40"/>
      <c r="C23" s="81">
        <v>1322</v>
      </c>
      <c r="D23" s="41"/>
      <c r="E23" s="42">
        <v>200000</v>
      </c>
      <c r="F23" s="42">
        <f>5000+ROUND(10000/3,0)</f>
        <v>8333</v>
      </c>
      <c r="G23" s="44"/>
      <c r="H23" s="43">
        <v>201193</v>
      </c>
      <c r="I23" s="45">
        <v>25614</v>
      </c>
      <c r="J23" s="134"/>
      <c r="K23" s="81">
        <v>10912</v>
      </c>
      <c r="L23" s="123">
        <f t="shared" si="7"/>
        <v>5.4559999999999995</v>
      </c>
      <c r="M23" s="46">
        <f>K23/F23*100</f>
        <v>130.94923796951878</v>
      </c>
      <c r="N23" s="90">
        <f t="shared" si="1"/>
        <v>5.4236479400376751</v>
      </c>
      <c r="O23" s="46">
        <f t="shared" si="2"/>
        <v>42.601702194112598</v>
      </c>
      <c r="P23" s="98" t="s">
        <v>53</v>
      </c>
    </row>
    <row r="24" spans="1:18" s="5" customFormat="1" ht="30" customHeight="1" x14ac:dyDescent="0.25">
      <c r="A24" s="39" t="s">
        <v>23</v>
      </c>
      <c r="B24" s="40"/>
      <c r="C24" s="81">
        <f>C25+C32</f>
        <v>825949</v>
      </c>
      <c r="D24" s="41"/>
      <c r="E24" s="42">
        <f>E25+E32</f>
        <v>6898817</v>
      </c>
      <c r="F24" s="43">
        <f>F25+F32</f>
        <v>984595</v>
      </c>
      <c r="G24" s="44"/>
      <c r="H24" s="43">
        <f>H25+H32</f>
        <v>6870384</v>
      </c>
      <c r="I24" s="45">
        <f>I25+I32</f>
        <v>1574700</v>
      </c>
      <c r="J24" s="134"/>
      <c r="K24" s="81">
        <f>K25+K32</f>
        <v>866392</v>
      </c>
      <c r="L24" s="123">
        <f t="shared" si="7"/>
        <v>12.558558952933524</v>
      </c>
      <c r="M24" s="46">
        <f>K24/F24*100</f>
        <v>87.994759266500438</v>
      </c>
      <c r="N24" s="90">
        <f t="shared" si="1"/>
        <v>12.610532395278051</v>
      </c>
      <c r="O24" s="46">
        <f t="shared" si="2"/>
        <v>55.019495776973393</v>
      </c>
      <c r="P24" s="98">
        <f t="shared" si="3"/>
        <v>104.89654930268091</v>
      </c>
    </row>
    <row r="25" spans="1:18" s="6" customFormat="1" ht="19.5" x14ac:dyDescent="0.25">
      <c r="A25" s="47" t="s">
        <v>3</v>
      </c>
      <c r="B25" s="48"/>
      <c r="C25" s="82">
        <f t="shared" ref="C25" si="8">C26+C27+C28+C29+C30+C31</f>
        <v>770783</v>
      </c>
      <c r="D25" s="72"/>
      <c r="E25" s="73">
        <f>E26+E27+E28+E29+E30+E31</f>
        <v>6398817</v>
      </c>
      <c r="F25" s="51">
        <f>509673+ROUND(1163489/3,0)</f>
        <v>897503</v>
      </c>
      <c r="G25" s="74"/>
      <c r="H25" s="51">
        <f>H26+H27+H28+H29+H30+H31</f>
        <v>5933709</v>
      </c>
      <c r="I25" s="53">
        <f>I26+I27+I28+I29+I30+I31</f>
        <v>1430263</v>
      </c>
      <c r="J25" s="50"/>
      <c r="K25" s="82">
        <f t="shared" ref="K25" si="9">K26+K27+K28+K29+K30+K31</f>
        <v>720737</v>
      </c>
      <c r="L25" s="124">
        <f t="shared" si="7"/>
        <v>11.263597630624536</v>
      </c>
      <c r="M25" s="54">
        <f>K25/F25*100</f>
        <v>80.304689789337743</v>
      </c>
      <c r="N25" s="91">
        <f t="shared" si="1"/>
        <v>12.14648375914626</v>
      </c>
      <c r="O25" s="54">
        <f t="shared" si="2"/>
        <v>50.391920926431013</v>
      </c>
      <c r="P25" s="99">
        <f t="shared" si="3"/>
        <v>93.507121978559454</v>
      </c>
    </row>
    <row r="26" spans="1:18" s="1" customFormat="1" ht="18.75" x14ac:dyDescent="0.25">
      <c r="A26" s="31" t="s">
        <v>4</v>
      </c>
      <c r="B26" s="32">
        <v>3744</v>
      </c>
      <c r="C26" s="80">
        <v>440121</v>
      </c>
      <c r="D26" s="33">
        <v>10009</v>
      </c>
      <c r="E26" s="75">
        <f>94470+1540312</f>
        <v>1634782</v>
      </c>
      <c r="F26" s="75"/>
      <c r="G26" s="76">
        <v>10009</v>
      </c>
      <c r="H26" s="34">
        <v>1634782</v>
      </c>
      <c r="I26" s="37">
        <v>535930</v>
      </c>
      <c r="J26" s="132">
        <v>2120</v>
      </c>
      <c r="K26" s="133">
        <v>291741</v>
      </c>
      <c r="L26" s="122">
        <f t="shared" si="7"/>
        <v>17.845865687290416</v>
      </c>
      <c r="M26" s="38"/>
      <c r="N26" s="89">
        <f t="shared" si="1"/>
        <v>17.845865687290416</v>
      </c>
      <c r="O26" s="38">
        <f t="shared" si="2"/>
        <v>54.436400276155474</v>
      </c>
      <c r="P26" s="97">
        <f t="shared" si="3"/>
        <v>66.286543927692605</v>
      </c>
    </row>
    <row r="27" spans="1:18" s="1" customFormat="1" ht="18.75" x14ac:dyDescent="0.25">
      <c r="A27" s="31" t="s">
        <v>17</v>
      </c>
      <c r="B27" s="32">
        <v>9</v>
      </c>
      <c r="C27" s="80">
        <v>76479</v>
      </c>
      <c r="D27" s="33">
        <v>250</v>
      </c>
      <c r="E27" s="35">
        <v>1483750</v>
      </c>
      <c r="F27" s="35"/>
      <c r="G27" s="76">
        <v>250</v>
      </c>
      <c r="H27" s="34">
        <v>1483750</v>
      </c>
      <c r="I27" s="37">
        <v>374533</v>
      </c>
      <c r="J27" s="132">
        <v>40</v>
      </c>
      <c r="K27" s="133">
        <v>340000</v>
      </c>
      <c r="L27" s="122">
        <f t="shared" si="7"/>
        <v>22.91491154170177</v>
      </c>
      <c r="M27" s="38"/>
      <c r="N27" s="89">
        <f t="shared" si="1"/>
        <v>22.91491154170177</v>
      </c>
      <c r="O27" s="38">
        <f t="shared" si="2"/>
        <v>90.779717675078032</v>
      </c>
      <c r="P27" s="103" t="s">
        <v>36</v>
      </c>
    </row>
    <row r="28" spans="1:18" s="1" customFormat="1" ht="18.75" x14ac:dyDescent="0.25">
      <c r="A28" s="31" t="s">
        <v>27</v>
      </c>
      <c r="B28" s="32">
        <v>34</v>
      </c>
      <c r="C28" s="80">
        <v>152269</v>
      </c>
      <c r="D28" s="33">
        <v>153</v>
      </c>
      <c r="E28" s="35">
        <v>2124939</v>
      </c>
      <c r="F28" s="35"/>
      <c r="G28" s="76">
        <v>137</v>
      </c>
      <c r="H28" s="34">
        <v>1993089</v>
      </c>
      <c r="I28" s="37">
        <v>393805</v>
      </c>
      <c r="J28" s="132">
        <v>18</v>
      </c>
      <c r="K28" s="133">
        <f>68425+9563</f>
        <v>77988</v>
      </c>
      <c r="L28" s="122">
        <f t="shared" si="7"/>
        <v>3.6701288836997206</v>
      </c>
      <c r="M28" s="38"/>
      <c r="N28" s="89">
        <f t="shared" si="1"/>
        <v>3.9129210988571006</v>
      </c>
      <c r="O28" s="38">
        <f t="shared" si="2"/>
        <v>19.803709957974124</v>
      </c>
      <c r="P28" s="97">
        <f t="shared" si="3"/>
        <v>51.217253676060125</v>
      </c>
      <c r="R28" s="141"/>
    </row>
    <row r="29" spans="1:18" s="1" customFormat="1" ht="18.75" x14ac:dyDescent="0.25">
      <c r="A29" s="31" t="s">
        <v>15</v>
      </c>
      <c r="B29" s="77">
        <v>30</v>
      </c>
      <c r="C29" s="80">
        <v>98289</v>
      </c>
      <c r="D29" s="33">
        <v>100</v>
      </c>
      <c r="E29" s="35">
        <v>947795</v>
      </c>
      <c r="F29" s="35"/>
      <c r="G29" s="76">
        <v>60</v>
      </c>
      <c r="H29" s="34">
        <v>617032</v>
      </c>
      <c r="I29" s="37">
        <v>107164</v>
      </c>
      <c r="J29" s="138"/>
      <c r="K29" s="133">
        <v>8641</v>
      </c>
      <c r="L29" s="122">
        <f t="shared" si="7"/>
        <v>0.91169503953914088</v>
      </c>
      <c r="M29" s="38"/>
      <c r="N29" s="89">
        <f t="shared" si="1"/>
        <v>1.4004135928120423</v>
      </c>
      <c r="O29" s="38">
        <f t="shared" si="2"/>
        <v>8.0633421671456826</v>
      </c>
      <c r="P29" s="97">
        <f t="shared" si="3"/>
        <v>8.7914212170232684</v>
      </c>
    </row>
    <row r="30" spans="1:18" s="1" customFormat="1" ht="18.75" x14ac:dyDescent="0.25">
      <c r="A30" s="31" t="s">
        <v>14</v>
      </c>
      <c r="B30" s="32"/>
      <c r="C30" s="80">
        <v>2713</v>
      </c>
      <c r="D30" s="33">
        <v>20</v>
      </c>
      <c r="E30" s="35">
        <f>89045+53260</f>
        <v>142305</v>
      </c>
      <c r="F30" s="35"/>
      <c r="G30" s="76">
        <v>63</v>
      </c>
      <c r="H30" s="34">
        <v>115305</v>
      </c>
      <c r="I30" s="37">
        <v>6471</v>
      </c>
      <c r="J30" s="132">
        <v>2</v>
      </c>
      <c r="K30" s="133">
        <v>1542</v>
      </c>
      <c r="L30" s="122">
        <f t="shared" si="7"/>
        <v>1.0835880678823653</v>
      </c>
      <c r="M30" s="38"/>
      <c r="N30" s="89">
        <f t="shared" si="1"/>
        <v>1.3373227526993625</v>
      </c>
      <c r="O30" s="38">
        <f t="shared" si="2"/>
        <v>23.82939267501159</v>
      </c>
      <c r="P30" s="97">
        <f t="shared" si="3"/>
        <v>56.837449318098045</v>
      </c>
    </row>
    <row r="31" spans="1:18" s="1" customFormat="1" ht="18.75" x14ac:dyDescent="0.25">
      <c r="A31" s="31" t="s">
        <v>16</v>
      </c>
      <c r="B31" s="77"/>
      <c r="C31" s="80">
        <v>912</v>
      </c>
      <c r="D31" s="33">
        <v>24</v>
      </c>
      <c r="E31" s="35">
        <f>26926+10000+28320</f>
        <v>65246</v>
      </c>
      <c r="F31" s="35"/>
      <c r="G31" s="76">
        <v>29</v>
      </c>
      <c r="H31" s="34">
        <v>89751</v>
      </c>
      <c r="I31" s="37">
        <v>12360</v>
      </c>
      <c r="J31" s="142">
        <v>1</v>
      </c>
      <c r="K31" s="133">
        <v>825</v>
      </c>
      <c r="L31" s="122">
        <f t="shared" si="7"/>
        <v>1.2644453299819145</v>
      </c>
      <c r="M31" s="38"/>
      <c r="N31" s="89">
        <f t="shared" si="1"/>
        <v>0.91920981381823053</v>
      </c>
      <c r="O31" s="38">
        <f t="shared" si="2"/>
        <v>6.674757281553398</v>
      </c>
      <c r="P31" s="97">
        <f t="shared" si="3"/>
        <v>90.460526315789465</v>
      </c>
    </row>
    <row r="32" spans="1:18" s="6" customFormat="1" ht="23.25" customHeight="1" x14ac:dyDescent="0.25">
      <c r="A32" s="47" t="s">
        <v>13</v>
      </c>
      <c r="B32" s="48"/>
      <c r="C32" s="82">
        <v>55166</v>
      </c>
      <c r="D32" s="72"/>
      <c r="E32" s="73">
        <v>500000</v>
      </c>
      <c r="F32" s="73">
        <f>68255+ROUND(56512/3,0)</f>
        <v>87092</v>
      </c>
      <c r="G32" s="74"/>
      <c r="H32" s="51">
        <v>936675</v>
      </c>
      <c r="I32" s="53">
        <v>144437</v>
      </c>
      <c r="J32" s="50"/>
      <c r="K32" s="82">
        <v>145655</v>
      </c>
      <c r="L32" s="124">
        <f t="shared" si="7"/>
        <v>29.131</v>
      </c>
      <c r="M32" s="54">
        <f>K32/F32*100</f>
        <v>167.24268589537502</v>
      </c>
      <c r="N32" s="91">
        <f t="shared" si="1"/>
        <v>15.550217524755116</v>
      </c>
      <c r="O32" s="54">
        <f t="shared" si="2"/>
        <v>100.84327423028725</v>
      </c>
      <c r="P32" s="99">
        <f t="shared" si="3"/>
        <v>264.03038103179495</v>
      </c>
    </row>
    <row r="33" spans="1:18" s="5" customFormat="1" ht="30" customHeight="1" x14ac:dyDescent="0.25">
      <c r="A33" s="39" t="s">
        <v>7</v>
      </c>
      <c r="B33" s="40"/>
      <c r="C33" s="81">
        <f>C34+C36+C43</f>
        <v>186144</v>
      </c>
      <c r="D33" s="41"/>
      <c r="E33" s="42">
        <f>E34+E36+E43</f>
        <v>2621329</v>
      </c>
      <c r="F33" s="42">
        <f>100000+ROUND(706303/3,0)</f>
        <v>335434</v>
      </c>
      <c r="G33" s="78"/>
      <c r="H33" s="43">
        <f>H34+H36+H43</f>
        <v>2819554</v>
      </c>
      <c r="I33" s="45">
        <f>I34+I36+I43</f>
        <v>638800</v>
      </c>
      <c r="J33" s="134"/>
      <c r="K33" s="81">
        <f>K34+K36+K43</f>
        <v>542365</v>
      </c>
      <c r="L33" s="123">
        <f t="shared" si="7"/>
        <v>20.690458923698625</v>
      </c>
      <c r="M33" s="46">
        <f>K33/F33*100</f>
        <v>161.69052630323699</v>
      </c>
      <c r="N33" s="90">
        <f t="shared" si="1"/>
        <v>19.235843683078954</v>
      </c>
      <c r="O33" s="46">
        <f t="shared" si="2"/>
        <v>84.903725735754549</v>
      </c>
      <c r="P33" s="98" t="s">
        <v>54</v>
      </c>
      <c r="R33" s="5">
        <v>706303</v>
      </c>
    </row>
    <row r="34" spans="1:18" s="6" customFormat="1" ht="18" customHeight="1" x14ac:dyDescent="0.25">
      <c r="A34" s="47" t="s">
        <v>8</v>
      </c>
      <c r="B34" s="48"/>
      <c r="C34" s="82">
        <v>108246</v>
      </c>
      <c r="D34" s="72"/>
      <c r="E34" s="73">
        <f>1395029-104945</f>
        <v>1290084</v>
      </c>
      <c r="F34" s="119">
        <f>25000+ROUND(176576/3,0)</f>
        <v>83859</v>
      </c>
      <c r="G34" s="74"/>
      <c r="H34" s="51">
        <v>1184176</v>
      </c>
      <c r="I34" s="53">
        <v>205534</v>
      </c>
      <c r="J34" s="50"/>
      <c r="K34" s="82">
        <f>167400+31421</f>
        <v>198821</v>
      </c>
      <c r="L34" s="124">
        <f t="shared" si="7"/>
        <v>15.411477082112482</v>
      </c>
      <c r="M34" s="54">
        <f>K34/F34*100</f>
        <v>237.08963855996376</v>
      </c>
      <c r="N34" s="91">
        <f t="shared" si="1"/>
        <v>16.789818405372177</v>
      </c>
      <c r="O34" s="54">
        <f t="shared" si="2"/>
        <v>96.733873714324631</v>
      </c>
      <c r="P34" s="99">
        <f t="shared" si="3"/>
        <v>183.67514734955563</v>
      </c>
      <c r="R34" s="6">
        <f>R33*25%</f>
        <v>176575.75</v>
      </c>
    </row>
    <row r="35" spans="1:18" s="1" customFormat="1" ht="18" customHeight="1" x14ac:dyDescent="0.25">
      <c r="A35" s="31" t="s">
        <v>18</v>
      </c>
      <c r="B35" s="148"/>
      <c r="C35" s="80">
        <v>105926</v>
      </c>
      <c r="D35" s="33"/>
      <c r="E35" s="35">
        <v>1200000</v>
      </c>
      <c r="F35" s="35"/>
      <c r="G35" s="76"/>
      <c r="H35" s="34">
        <v>1050392</v>
      </c>
      <c r="I35" s="37">
        <v>188882</v>
      </c>
      <c r="J35" s="132"/>
      <c r="K35" s="133">
        <f>163614+31421</f>
        <v>195035</v>
      </c>
      <c r="L35" s="122">
        <f t="shared" si="7"/>
        <v>16.252916666666668</v>
      </c>
      <c r="M35" s="38"/>
      <c r="N35" s="89">
        <f t="shared" si="1"/>
        <v>18.567829914926996</v>
      </c>
      <c r="O35" s="38">
        <f t="shared" si="2"/>
        <v>103.25758939443675</v>
      </c>
      <c r="P35" s="97">
        <f t="shared" si="3"/>
        <v>184.12382229103338</v>
      </c>
    </row>
    <row r="36" spans="1:18" s="6" customFormat="1" ht="18" customHeight="1" x14ac:dyDescent="0.25">
      <c r="A36" s="47" t="s">
        <v>3</v>
      </c>
      <c r="B36" s="48"/>
      <c r="C36" s="82">
        <f>C37+C38+C39+C40+C41+C42</f>
        <v>76269</v>
      </c>
      <c r="D36" s="72">
        <f t="shared" ref="D36:G36" si="10">D37+D38+D39+D40+D41+D42</f>
        <v>1011</v>
      </c>
      <c r="E36" s="73">
        <f t="shared" si="10"/>
        <v>1226300</v>
      </c>
      <c r="F36" s="119">
        <f>F33-F34-F43</f>
        <v>241512</v>
      </c>
      <c r="G36" s="74">
        <f t="shared" si="10"/>
        <v>959</v>
      </c>
      <c r="H36" s="51">
        <f>H37+H38+H39+H40+H41+H42</f>
        <v>1530433</v>
      </c>
      <c r="I36" s="49">
        <f>I37+I38+I39+I40+I41+I42</f>
        <v>412063</v>
      </c>
      <c r="J36" s="50"/>
      <c r="K36" s="82">
        <f>K37+K38+K39+K40+K41+K42</f>
        <v>287330</v>
      </c>
      <c r="L36" s="124">
        <f t="shared" si="7"/>
        <v>23.430645029764332</v>
      </c>
      <c r="M36" s="54">
        <f>K36/F36*100</f>
        <v>118.97131405478815</v>
      </c>
      <c r="N36" s="91">
        <f t="shared" si="1"/>
        <v>18.77442527702944</v>
      </c>
      <c r="O36" s="54">
        <f t="shared" si="2"/>
        <v>69.729628721821669</v>
      </c>
      <c r="P36" s="99" t="s">
        <v>55</v>
      </c>
      <c r="R36" s="6">
        <f>R33*72%</f>
        <v>508538.16</v>
      </c>
    </row>
    <row r="37" spans="1:18" s="1" customFormat="1" ht="18.75" x14ac:dyDescent="0.25">
      <c r="A37" s="31" t="s">
        <v>4</v>
      </c>
      <c r="B37" s="32"/>
      <c r="C37" s="80"/>
      <c r="D37" s="33">
        <v>696</v>
      </c>
      <c r="E37" s="35">
        <v>119976</v>
      </c>
      <c r="F37" s="35"/>
      <c r="G37" s="76">
        <v>696</v>
      </c>
      <c r="H37" s="34">
        <v>119976</v>
      </c>
      <c r="I37" s="37">
        <v>39819</v>
      </c>
      <c r="J37" s="132">
        <f>473+120</f>
        <v>593</v>
      </c>
      <c r="K37" s="133">
        <f>71311+18000</f>
        <v>89311</v>
      </c>
      <c r="L37" s="122">
        <f t="shared" si="7"/>
        <v>74.440721477628855</v>
      </c>
      <c r="M37" s="38"/>
      <c r="N37" s="89">
        <f t="shared" si="1"/>
        <v>74.440721477628855</v>
      </c>
      <c r="O37" s="38">
        <f t="shared" si="2"/>
        <v>224.2924232150481</v>
      </c>
      <c r="P37" s="144" t="e">
        <f t="shared" si="3"/>
        <v>#DIV/0!</v>
      </c>
    </row>
    <row r="38" spans="1:18" s="1" customFormat="1" ht="18.75" hidden="1" x14ac:dyDescent="0.25">
      <c r="A38" s="31" t="s">
        <v>5</v>
      </c>
      <c r="B38" s="32"/>
      <c r="C38" s="80"/>
      <c r="D38" s="33"/>
      <c r="E38" s="35"/>
      <c r="F38" s="35"/>
      <c r="G38" s="76"/>
      <c r="H38" s="34"/>
      <c r="I38" s="37"/>
      <c r="J38" s="132"/>
      <c r="K38" s="133"/>
      <c r="L38" s="122" t="e">
        <f t="shared" si="7"/>
        <v>#DIV/0!</v>
      </c>
      <c r="M38" s="38"/>
      <c r="N38" s="89" t="e">
        <f t="shared" si="1"/>
        <v>#DIV/0!</v>
      </c>
      <c r="O38" s="38" t="e">
        <f t="shared" si="2"/>
        <v>#DIV/0!</v>
      </c>
      <c r="P38" s="97" t="e">
        <f t="shared" si="3"/>
        <v>#DIV/0!</v>
      </c>
    </row>
    <row r="39" spans="1:18" s="1" customFormat="1" ht="18.75" x14ac:dyDescent="0.25">
      <c r="A39" s="31" t="s">
        <v>28</v>
      </c>
      <c r="B39" s="147">
        <v>14</v>
      </c>
      <c r="C39" s="80">
        <v>74391</v>
      </c>
      <c r="D39" s="33">
        <v>85</v>
      </c>
      <c r="E39" s="35">
        <v>585444</v>
      </c>
      <c r="F39" s="35"/>
      <c r="G39" s="76">
        <v>85</v>
      </c>
      <c r="H39" s="34">
        <v>568920</v>
      </c>
      <c r="I39" s="37">
        <v>241913</v>
      </c>
      <c r="J39" s="132">
        <f>16+7</f>
        <v>23</v>
      </c>
      <c r="K39" s="133">
        <f>79251+35000</f>
        <v>114251</v>
      </c>
      <c r="L39" s="122">
        <f t="shared" si="7"/>
        <v>19.515273877604006</v>
      </c>
      <c r="M39" s="38"/>
      <c r="N39" s="89">
        <f t="shared" si="1"/>
        <v>20.082085354707164</v>
      </c>
      <c r="O39" s="38">
        <f t="shared" si="2"/>
        <v>47.228135734747617</v>
      </c>
      <c r="P39" s="97">
        <f t="shared" si="3"/>
        <v>153.58175048056887</v>
      </c>
    </row>
    <row r="40" spans="1:18" s="1" customFormat="1" ht="18.75" x14ac:dyDescent="0.25">
      <c r="A40" s="31" t="s">
        <v>29</v>
      </c>
      <c r="B40" s="32"/>
      <c r="C40" s="80"/>
      <c r="D40" s="33">
        <v>25</v>
      </c>
      <c r="E40" s="35">
        <v>198753</v>
      </c>
      <c r="F40" s="35"/>
      <c r="G40" s="76">
        <v>68</v>
      </c>
      <c r="H40" s="34">
        <v>516650</v>
      </c>
      <c r="I40" s="37">
        <v>95476</v>
      </c>
      <c r="J40" s="132">
        <v>14</v>
      </c>
      <c r="K40" s="133">
        <v>44880</v>
      </c>
      <c r="L40" s="122">
        <f t="shared" si="7"/>
        <v>22.580791233339877</v>
      </c>
      <c r="M40" s="38"/>
      <c r="N40" s="89">
        <f t="shared" si="1"/>
        <v>8.6867318300590348</v>
      </c>
      <c r="O40" s="38">
        <f t="shared" si="2"/>
        <v>47.006577569232064</v>
      </c>
      <c r="P40" s="144" t="e">
        <f t="shared" si="3"/>
        <v>#DIV/0!</v>
      </c>
    </row>
    <row r="41" spans="1:18" s="1" customFormat="1" ht="18.75" x14ac:dyDescent="0.25">
      <c r="A41" s="31" t="s">
        <v>19</v>
      </c>
      <c r="B41" s="32"/>
      <c r="C41" s="80">
        <v>1878</v>
      </c>
      <c r="D41" s="33">
        <v>194</v>
      </c>
      <c r="E41" s="35">
        <v>279627</v>
      </c>
      <c r="F41" s="35"/>
      <c r="G41" s="76">
        <v>106</v>
      </c>
      <c r="H41" s="34">
        <v>277036</v>
      </c>
      <c r="I41" s="37">
        <v>15735</v>
      </c>
      <c r="J41" s="132">
        <v>1</v>
      </c>
      <c r="K41" s="133">
        <v>3420</v>
      </c>
      <c r="L41" s="122">
        <f t="shared" si="7"/>
        <v>1.2230578592196033</v>
      </c>
      <c r="M41" s="38"/>
      <c r="N41" s="89">
        <f t="shared" si="1"/>
        <v>1.234496599719892</v>
      </c>
      <c r="O41" s="38">
        <f t="shared" si="2"/>
        <v>21.734985700667302</v>
      </c>
      <c r="P41" s="143">
        <f t="shared" si="3"/>
        <v>182.10862619808304</v>
      </c>
    </row>
    <row r="42" spans="1:18" s="1" customFormat="1" ht="18.75" x14ac:dyDescent="0.25">
      <c r="A42" s="31" t="s">
        <v>16</v>
      </c>
      <c r="B42" s="32"/>
      <c r="C42" s="80"/>
      <c r="D42" s="33">
        <f>2+9</f>
        <v>11</v>
      </c>
      <c r="E42" s="35">
        <f>5000+37500</f>
        <v>42500</v>
      </c>
      <c r="F42" s="35"/>
      <c r="G42" s="76">
        <v>4</v>
      </c>
      <c r="H42" s="34">
        <v>47851</v>
      </c>
      <c r="I42" s="37">
        <v>19120</v>
      </c>
      <c r="J42" s="132">
        <v>2</v>
      </c>
      <c r="K42" s="133">
        <v>35468</v>
      </c>
      <c r="L42" s="122">
        <f t="shared" si="7"/>
        <v>83.454117647058823</v>
      </c>
      <c r="M42" s="38"/>
      <c r="N42" s="89">
        <f t="shared" si="1"/>
        <v>74.121752941422329</v>
      </c>
      <c r="O42" s="38">
        <f t="shared" si="2"/>
        <v>185.5020920502092</v>
      </c>
      <c r="P42" s="144" t="e">
        <f t="shared" si="3"/>
        <v>#DIV/0!</v>
      </c>
    </row>
    <row r="43" spans="1:18" s="6" customFormat="1" ht="19.5" x14ac:dyDescent="0.25">
      <c r="A43" s="108" t="s">
        <v>13</v>
      </c>
      <c r="B43" s="109"/>
      <c r="C43" s="110">
        <v>1629</v>
      </c>
      <c r="D43" s="111"/>
      <c r="E43" s="112">
        <v>104945</v>
      </c>
      <c r="F43" s="120">
        <f>3000+ROUND(21189/3,0)</f>
        <v>10063</v>
      </c>
      <c r="G43" s="113"/>
      <c r="H43" s="114">
        <v>104945</v>
      </c>
      <c r="I43" s="115">
        <v>21203</v>
      </c>
      <c r="J43" s="139"/>
      <c r="K43" s="110">
        <f>19586+36628</f>
        <v>56214</v>
      </c>
      <c r="L43" s="127">
        <f t="shared" si="7"/>
        <v>53.565200819476864</v>
      </c>
      <c r="M43" s="116">
        <f>K43/F43*100</f>
        <v>558.62068965517244</v>
      </c>
      <c r="N43" s="117">
        <f t="shared" si="1"/>
        <v>53.565200819476864</v>
      </c>
      <c r="O43" s="116">
        <f t="shared" si="2"/>
        <v>265.12285997264541</v>
      </c>
      <c r="P43" s="118">
        <f t="shared" si="3"/>
        <v>3450.8287292817677</v>
      </c>
      <c r="R43" s="6">
        <f>R33*3%</f>
        <v>21189.09</v>
      </c>
    </row>
    <row r="44" spans="1:18" ht="30" customHeight="1" thickBot="1" x14ac:dyDescent="0.3">
      <c r="A44" s="24" t="s">
        <v>9</v>
      </c>
      <c r="B44" s="25"/>
      <c r="C44" s="84">
        <f>C8+C11+C24+C22+C23+C33</f>
        <v>2468896</v>
      </c>
      <c r="D44" s="26"/>
      <c r="E44" s="27">
        <f>E8+E11+E24+E22+E23+E33</f>
        <v>26947781</v>
      </c>
      <c r="F44" s="27">
        <f>F33+F24+F23+F22+F11+F8</f>
        <v>3452695</v>
      </c>
      <c r="G44" s="28"/>
      <c r="H44" s="107">
        <f>H8+H11+H24+H22+H23+H33</f>
        <v>26947781</v>
      </c>
      <c r="I44" s="29">
        <f>I8+I11+I22+I23+I24+I33</f>
        <v>5155576</v>
      </c>
      <c r="J44" s="26"/>
      <c r="K44" s="29">
        <f>K8+K11+K24+K22+K23+K33</f>
        <v>4262800</v>
      </c>
      <c r="L44" s="128">
        <f t="shared" si="7"/>
        <v>15.818742181406328</v>
      </c>
      <c r="M44" s="30">
        <f>K44/F44*100</f>
        <v>123.46297602307763</v>
      </c>
      <c r="N44" s="94">
        <f t="shared" si="1"/>
        <v>15.818742181406328</v>
      </c>
      <c r="O44" s="30">
        <f t="shared" si="2"/>
        <v>82.683292807631972</v>
      </c>
      <c r="P44" s="102">
        <f t="shared" si="3"/>
        <v>172.66016875558955</v>
      </c>
      <c r="R44" s="140"/>
    </row>
    <row r="45" spans="1:18" s="105" customFormat="1" ht="18.75" x14ac:dyDescent="0.3">
      <c r="A45" s="145"/>
      <c r="B45" s="146"/>
      <c r="L45" s="146"/>
      <c r="M45" s="146"/>
      <c r="N45" s="146"/>
      <c r="O45" s="146"/>
      <c r="P45" s="146"/>
    </row>
    <row r="46" spans="1:18" x14ac:dyDescent="0.25">
      <c r="O46" s="8"/>
    </row>
    <row r="47" spans="1:18" x14ac:dyDescent="0.25">
      <c r="O47" s="8"/>
    </row>
    <row r="48" spans="1:18" x14ac:dyDescent="0.25">
      <c r="O48" s="8"/>
    </row>
    <row r="49" spans="15:15" x14ac:dyDescent="0.25">
      <c r="O49" s="8"/>
    </row>
    <row r="50" spans="15:15" x14ac:dyDescent="0.25">
      <c r="O50" s="8"/>
    </row>
    <row r="51" spans="15:15" x14ac:dyDescent="0.25">
      <c r="O51" s="8"/>
    </row>
    <row r="52" spans="15:15" x14ac:dyDescent="0.25">
      <c r="O52" s="8"/>
    </row>
    <row r="53" spans="15:15" x14ac:dyDescent="0.25">
      <c r="O53" s="8"/>
    </row>
    <row r="54" spans="15:15" x14ac:dyDescent="0.25">
      <c r="O54" s="8"/>
    </row>
    <row r="55" spans="15:15" x14ac:dyDescent="0.25">
      <c r="O55" s="8"/>
    </row>
    <row r="56" spans="15:15" x14ac:dyDescent="0.25">
      <c r="O56" s="8"/>
    </row>
    <row r="57" spans="15:15" x14ac:dyDescent="0.25">
      <c r="O57" s="8"/>
    </row>
    <row r="58" spans="15:15" x14ac:dyDescent="0.25">
      <c r="O58" s="8"/>
    </row>
    <row r="59" spans="15:15" x14ac:dyDescent="0.25">
      <c r="O59" s="8"/>
    </row>
    <row r="60" spans="15:15" x14ac:dyDescent="0.25">
      <c r="O60" s="8"/>
    </row>
    <row r="61" spans="15:15" x14ac:dyDescent="0.25">
      <c r="O61" s="8"/>
    </row>
    <row r="62" spans="15:15" x14ac:dyDescent="0.25">
      <c r="O62" s="8"/>
    </row>
    <row r="63" spans="15:15" x14ac:dyDescent="0.25">
      <c r="O63" s="8"/>
    </row>
    <row r="64" spans="15:15" x14ac:dyDescent="0.25">
      <c r="O64" s="8"/>
    </row>
    <row r="65" spans="15:15" x14ac:dyDescent="0.25">
      <c r="O65" s="8"/>
    </row>
    <row r="66" spans="15:15" x14ac:dyDescent="0.25">
      <c r="O66" s="8"/>
    </row>
    <row r="67" spans="15:15" x14ac:dyDescent="0.25">
      <c r="O67" s="8"/>
    </row>
    <row r="68" spans="15:15" x14ac:dyDescent="0.25">
      <c r="O68" s="8"/>
    </row>
    <row r="69" spans="15:15" x14ac:dyDescent="0.25">
      <c r="O69" s="8"/>
    </row>
    <row r="70" spans="15:15" x14ac:dyDescent="0.25">
      <c r="O70" s="8"/>
    </row>
    <row r="71" spans="15:15" x14ac:dyDescent="0.25">
      <c r="O71" s="8"/>
    </row>
    <row r="72" spans="15:15" x14ac:dyDescent="0.25">
      <c r="O72" s="8"/>
    </row>
    <row r="73" spans="15:15" x14ac:dyDescent="0.25">
      <c r="O73" s="8"/>
    </row>
    <row r="74" spans="15:15" x14ac:dyDescent="0.25">
      <c r="O74" s="8"/>
    </row>
    <row r="75" spans="15:15" x14ac:dyDescent="0.25">
      <c r="O75" s="8"/>
    </row>
    <row r="76" spans="15:15" x14ac:dyDescent="0.25">
      <c r="O76" s="8"/>
    </row>
    <row r="77" spans="15:15" x14ac:dyDescent="0.25">
      <c r="O77" s="8"/>
    </row>
    <row r="78" spans="15:15" x14ac:dyDescent="0.25">
      <c r="O78" s="8"/>
    </row>
    <row r="79" spans="15:15" x14ac:dyDescent="0.25">
      <c r="O79" s="8"/>
    </row>
    <row r="80" spans="15:15" x14ac:dyDescent="0.25">
      <c r="O80" s="8"/>
    </row>
    <row r="81" spans="15:15" x14ac:dyDescent="0.25">
      <c r="O81" s="8"/>
    </row>
    <row r="82" spans="15:15" x14ac:dyDescent="0.25">
      <c r="O82" s="8"/>
    </row>
    <row r="83" spans="15:15" x14ac:dyDescent="0.25">
      <c r="O83" s="8"/>
    </row>
    <row r="84" spans="15:15" x14ac:dyDescent="0.25">
      <c r="O84" s="8"/>
    </row>
    <row r="85" spans="15:15" x14ac:dyDescent="0.25">
      <c r="O85" s="8"/>
    </row>
    <row r="86" spans="15:15" x14ac:dyDescent="0.25">
      <c r="O86" s="8"/>
    </row>
    <row r="87" spans="15:15" x14ac:dyDescent="0.25">
      <c r="O87" s="8"/>
    </row>
    <row r="88" spans="15:15" x14ac:dyDescent="0.25">
      <c r="O88" s="8"/>
    </row>
    <row r="89" spans="15:15" x14ac:dyDescent="0.25">
      <c r="O89" s="8"/>
    </row>
    <row r="90" spans="15:15" x14ac:dyDescent="0.25">
      <c r="O90" s="8"/>
    </row>
    <row r="91" spans="15:15" x14ac:dyDescent="0.25">
      <c r="O91" s="8"/>
    </row>
    <row r="92" spans="15:15" x14ac:dyDescent="0.25">
      <c r="O92" s="8"/>
    </row>
    <row r="93" spans="15:15" x14ac:dyDescent="0.25">
      <c r="O93" s="8"/>
    </row>
    <row r="94" spans="15:15" x14ac:dyDescent="0.25">
      <c r="O94" s="8"/>
    </row>
    <row r="95" spans="15:15" x14ac:dyDescent="0.25">
      <c r="O95" s="8"/>
    </row>
    <row r="96" spans="15:15" x14ac:dyDescent="0.25">
      <c r="O96" s="8"/>
    </row>
    <row r="97" spans="15:15" x14ac:dyDescent="0.25">
      <c r="O97" s="8"/>
    </row>
    <row r="98" spans="15:15" x14ac:dyDescent="0.25">
      <c r="O98" s="8"/>
    </row>
    <row r="99" spans="15:15" x14ac:dyDescent="0.25">
      <c r="O99" s="8"/>
    </row>
    <row r="100" spans="15:15" x14ac:dyDescent="0.25">
      <c r="O100" s="8"/>
    </row>
    <row r="101" spans="15:15" x14ac:dyDescent="0.25">
      <c r="O101" s="8"/>
    </row>
    <row r="102" spans="15:15" x14ac:dyDescent="0.25">
      <c r="O102" s="8"/>
    </row>
    <row r="103" spans="15:15" x14ac:dyDescent="0.25">
      <c r="O103" s="8"/>
    </row>
    <row r="104" spans="15:15" x14ac:dyDescent="0.25">
      <c r="O104" s="8"/>
    </row>
    <row r="105" spans="15:15" x14ac:dyDescent="0.25">
      <c r="O105" s="8"/>
    </row>
    <row r="106" spans="15:15" x14ac:dyDescent="0.25">
      <c r="O106" s="8"/>
    </row>
    <row r="107" spans="15:15" x14ac:dyDescent="0.25">
      <c r="O107" s="8"/>
    </row>
    <row r="108" spans="15:15" x14ac:dyDescent="0.25">
      <c r="O108" s="8"/>
    </row>
    <row r="109" spans="15:15" x14ac:dyDescent="0.25">
      <c r="O109" s="8"/>
    </row>
    <row r="110" spans="15:15" x14ac:dyDescent="0.25">
      <c r="O110" s="8"/>
    </row>
    <row r="111" spans="15:15" x14ac:dyDescent="0.25">
      <c r="O111" s="8"/>
    </row>
    <row r="112" spans="15:15" x14ac:dyDescent="0.25">
      <c r="O112" s="8"/>
    </row>
    <row r="113" spans="15:15" x14ac:dyDescent="0.25">
      <c r="O113" s="8"/>
    </row>
    <row r="114" spans="15:15" x14ac:dyDescent="0.25">
      <c r="O114" s="8"/>
    </row>
    <row r="115" spans="15:15" x14ac:dyDescent="0.25">
      <c r="O115" s="8"/>
    </row>
    <row r="116" spans="15:15" x14ac:dyDescent="0.25">
      <c r="O116" s="8"/>
    </row>
    <row r="117" spans="15:15" x14ac:dyDescent="0.25">
      <c r="O117" s="8"/>
    </row>
    <row r="118" spans="15:15" x14ac:dyDescent="0.25">
      <c r="O118" s="8"/>
    </row>
    <row r="119" spans="15:15" x14ac:dyDescent="0.25">
      <c r="O119" s="8"/>
    </row>
    <row r="120" spans="15:15" x14ac:dyDescent="0.25">
      <c r="O120" s="8"/>
    </row>
    <row r="121" spans="15:15" x14ac:dyDescent="0.25">
      <c r="O121" s="8"/>
    </row>
    <row r="122" spans="15:15" x14ac:dyDescent="0.25">
      <c r="O122" s="8"/>
    </row>
    <row r="123" spans="15:15" x14ac:dyDescent="0.25">
      <c r="O123" s="8"/>
    </row>
    <row r="124" spans="15:15" x14ac:dyDescent="0.25">
      <c r="O124" s="8"/>
    </row>
    <row r="125" spans="15:15" x14ac:dyDescent="0.25">
      <c r="O125" s="8"/>
    </row>
    <row r="126" spans="15:15" x14ac:dyDescent="0.25">
      <c r="O126" s="8"/>
    </row>
    <row r="127" spans="15:15" x14ac:dyDescent="0.25">
      <c r="O127" s="8"/>
    </row>
    <row r="128" spans="15:15" x14ac:dyDescent="0.25">
      <c r="O128" s="8"/>
    </row>
    <row r="129" spans="15:15" x14ac:dyDescent="0.25">
      <c r="O129" s="8"/>
    </row>
    <row r="130" spans="15:15" x14ac:dyDescent="0.25">
      <c r="O130" s="8"/>
    </row>
    <row r="131" spans="15:15" x14ac:dyDescent="0.25">
      <c r="O131" s="8"/>
    </row>
    <row r="132" spans="15:15" x14ac:dyDescent="0.25">
      <c r="O132" s="8"/>
    </row>
    <row r="133" spans="15:15" x14ac:dyDescent="0.25">
      <c r="O133" s="8"/>
    </row>
    <row r="134" spans="15:15" x14ac:dyDescent="0.25">
      <c r="O134" s="8"/>
    </row>
    <row r="135" spans="15:15" x14ac:dyDescent="0.25">
      <c r="O135" s="8"/>
    </row>
    <row r="136" spans="15:15" x14ac:dyDescent="0.25">
      <c r="O136" s="8"/>
    </row>
    <row r="137" spans="15:15" x14ac:dyDescent="0.25">
      <c r="O137" s="8"/>
    </row>
    <row r="138" spans="15:15" x14ac:dyDescent="0.25">
      <c r="O138" s="8"/>
    </row>
    <row r="139" spans="15:15" x14ac:dyDescent="0.25">
      <c r="O139" s="8"/>
    </row>
    <row r="140" spans="15:15" x14ac:dyDescent="0.25">
      <c r="O140" s="8"/>
    </row>
    <row r="141" spans="15:15" x14ac:dyDescent="0.25">
      <c r="O141" s="8"/>
    </row>
    <row r="142" spans="15:15" x14ac:dyDescent="0.25">
      <c r="O142" s="8"/>
    </row>
    <row r="143" spans="15:15" x14ac:dyDescent="0.25">
      <c r="O143" s="8"/>
    </row>
    <row r="144" spans="15:15" x14ac:dyDescent="0.25">
      <c r="O144" s="8"/>
    </row>
    <row r="145" spans="15:15" x14ac:dyDescent="0.25">
      <c r="O145" s="8"/>
    </row>
    <row r="146" spans="15:15" x14ac:dyDescent="0.25">
      <c r="O146" s="8"/>
    </row>
    <row r="147" spans="15:15" x14ac:dyDescent="0.25">
      <c r="O147" s="8"/>
    </row>
    <row r="148" spans="15:15" x14ac:dyDescent="0.25">
      <c r="O148" s="8"/>
    </row>
    <row r="149" spans="15:15" x14ac:dyDescent="0.25">
      <c r="O149" s="8"/>
    </row>
    <row r="150" spans="15:15" x14ac:dyDescent="0.25">
      <c r="O150" s="8"/>
    </row>
    <row r="151" spans="15:15" x14ac:dyDescent="0.25">
      <c r="O151" s="8"/>
    </row>
    <row r="152" spans="15:15" x14ac:dyDescent="0.25">
      <c r="O152" s="8"/>
    </row>
    <row r="153" spans="15:15" x14ac:dyDescent="0.25">
      <c r="O153" s="8"/>
    </row>
    <row r="154" spans="15:15" x14ac:dyDescent="0.25">
      <c r="O154" s="8"/>
    </row>
    <row r="155" spans="15:15" x14ac:dyDescent="0.25">
      <c r="O155" s="8"/>
    </row>
    <row r="156" spans="15:15" x14ac:dyDescent="0.25">
      <c r="O156" s="8"/>
    </row>
    <row r="157" spans="15:15" x14ac:dyDescent="0.25">
      <c r="O157" s="8"/>
    </row>
    <row r="158" spans="15:15" x14ac:dyDescent="0.25">
      <c r="O158" s="8"/>
    </row>
    <row r="159" spans="15:15" x14ac:dyDescent="0.25">
      <c r="O159" s="8"/>
    </row>
    <row r="160" spans="15:15" x14ac:dyDescent="0.25">
      <c r="O160" s="8"/>
    </row>
    <row r="161" spans="15:15" x14ac:dyDescent="0.25">
      <c r="O161" s="8"/>
    </row>
    <row r="162" spans="15:15" x14ac:dyDescent="0.25">
      <c r="O162" s="8"/>
    </row>
    <row r="163" spans="15:15" x14ac:dyDescent="0.25">
      <c r="O163" s="8"/>
    </row>
  </sheetData>
  <mergeCells count="14">
    <mergeCell ref="L3:P3"/>
    <mergeCell ref="P4:P6"/>
    <mergeCell ref="N4:O5"/>
    <mergeCell ref="A1:P1"/>
    <mergeCell ref="A3:A6"/>
    <mergeCell ref="L4:M5"/>
    <mergeCell ref="D5:E5"/>
    <mergeCell ref="G5:H5"/>
    <mergeCell ref="B3:C5"/>
    <mergeCell ref="J3:K5"/>
    <mergeCell ref="D4:F4"/>
    <mergeCell ref="G4:I4"/>
    <mergeCell ref="D3:I3"/>
    <mergeCell ref="L2:P2"/>
  </mergeCells>
  <pageMargins left="0.39370078740157483" right="0.39370078740157483" top="0" bottom="0" header="0.31496062992125984" footer="0.31496062992125984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Гайдай Світлана Григорівна</dc:creator>
  <cp:lastModifiedBy>Васильєва Олена Григорівна</cp:lastModifiedBy>
  <cp:lastPrinted>2018-05-21T12:57:56Z</cp:lastPrinted>
  <dcterms:created xsi:type="dcterms:W3CDTF">2018-04-27T06:55:44Z</dcterms:created>
  <dcterms:modified xsi:type="dcterms:W3CDTF">2018-06-08T11:53:46Z</dcterms:modified>
</cp:coreProperties>
</file>