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325" windowWidth="12000" windowHeight="5640" tabRatio="921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Коефіцієнти'!$7:$7</definedName>
    <definedName name="_xlnm.Print_Titles" localSheetId="1">'I. Фін результат'!$4:$6</definedName>
    <definedName name="_xlnm.Print_Titles" localSheetId="2">'ІІ. Розр. з бюджетом'!$6:$6</definedName>
    <definedName name="_xlnm.Print_Titles" localSheetId="3">'ІІІ. Рух грош. коштів'!$7:$7</definedName>
    <definedName name="_xlnm.Print_Titles" localSheetId="0">'Осн. фін. пок.'!$29:$29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Коефіцієнти'!$A$1:$H$30</definedName>
    <definedName name="_xlnm.Print_Area" localSheetId="6">'6.1. Інша інфо_1'!$A$1:$O$84</definedName>
    <definedName name="_xlnm.Print_Area" localSheetId="7">'6.2. Інша інфо_2'!$A$1:$AF$117</definedName>
    <definedName name="_xlnm.Print_Area" localSheetId="1">'I. Фін результат'!$A$1:$I$175</definedName>
    <definedName name="_xlnm.Print_Area" localSheetId="4">'IV. Кап. інвестиції'!$A$1:$H$19</definedName>
    <definedName name="_xlnm.Print_Area" localSheetId="2">'ІІ. Розр. з бюджетом'!$A$1:$H$58</definedName>
    <definedName name="_xlnm.Print_Area" localSheetId="3">'ІІІ. Рух грош. коштів'!$A$1:$H$105</definedName>
    <definedName name="_xlnm.Print_Area" localSheetId="0">'Осн. фін. пок.'!$A$1:$H$171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F28" i="18" l="1"/>
  <c r="F21" i="18"/>
  <c r="F22" i="18"/>
  <c r="F23" i="18"/>
  <c r="F24" i="18"/>
  <c r="F25" i="18"/>
  <c r="F26" i="18"/>
  <c r="F20" i="18"/>
  <c r="C47" i="18" l="1"/>
  <c r="C44" i="18"/>
  <c r="C50" i="18"/>
  <c r="F150" i="2"/>
  <c r="C82" i="2" l="1"/>
  <c r="C81" i="2"/>
  <c r="C80" i="2"/>
  <c r="C78" i="2"/>
  <c r="F53" i="2" l="1"/>
  <c r="F51" i="2"/>
  <c r="F29" i="2"/>
  <c r="C26" i="18" l="1"/>
  <c r="D145" i="2"/>
  <c r="D144" i="2"/>
  <c r="F145" i="2"/>
  <c r="F144" i="2"/>
  <c r="F70" i="2"/>
  <c r="F49" i="2" l="1"/>
  <c r="F19" i="2" l="1"/>
  <c r="F18" i="2"/>
  <c r="F17" i="2"/>
  <c r="F33" i="2"/>
  <c r="F45" i="2"/>
  <c r="F27" i="2"/>
  <c r="F36" i="2"/>
  <c r="F44" i="2"/>
  <c r="F52" i="2"/>
  <c r="F47" i="2"/>
  <c r="F40" i="2"/>
  <c r="F34" i="2"/>
  <c r="F39" i="2"/>
  <c r="F32" i="2"/>
  <c r="F31" i="2"/>
  <c r="F37" i="2"/>
  <c r="F25" i="2"/>
  <c r="F24" i="2"/>
  <c r="F28" i="2"/>
  <c r="F30" i="2"/>
  <c r="F26" i="2"/>
  <c r="F50" i="2"/>
  <c r="F16" i="2"/>
  <c r="F22" i="2"/>
  <c r="F21" i="2"/>
  <c r="F20" i="2"/>
  <c r="D158" i="14" l="1"/>
  <c r="D159" i="14"/>
  <c r="D157" i="14"/>
  <c r="C156" i="14"/>
  <c r="C161" i="14" s="1"/>
  <c r="D124" i="14"/>
  <c r="D15" i="3"/>
  <c r="D14" i="3"/>
  <c r="D12" i="3"/>
  <c r="D59" i="18"/>
  <c r="D100" i="18"/>
  <c r="D69" i="18" l="1"/>
  <c r="F69" i="18"/>
  <c r="D58" i="18"/>
  <c r="D54" i="18"/>
  <c r="D55" i="18" l="1"/>
  <c r="F55" i="18"/>
  <c r="D51" i="18"/>
  <c r="F51" i="18"/>
  <c r="D50" i="18"/>
  <c r="D47" i="18"/>
  <c r="D46" i="18"/>
  <c r="D45" i="18"/>
  <c r="D44" i="18"/>
  <c r="D39" i="18"/>
  <c r="D38" i="18"/>
  <c r="D36" i="18"/>
  <c r="D35" i="18"/>
  <c r="D29" i="18"/>
  <c r="D26" i="18"/>
  <c r="D25" i="18"/>
  <c r="D14" i="18"/>
  <c r="D13" i="18"/>
  <c r="D10" i="18"/>
  <c r="D21" i="18"/>
  <c r="D34" i="10"/>
  <c r="D27" i="10"/>
  <c r="D28" i="10" s="1"/>
  <c r="H34" i="10"/>
  <c r="D162" i="14" s="1"/>
  <c r="H27" i="10"/>
  <c r="H28" i="10" s="1"/>
  <c r="D166" i="2" l="1"/>
  <c r="V59" i="9" l="1"/>
  <c r="V56" i="9"/>
  <c r="V58" i="9"/>
  <c r="V60" i="9"/>
  <c r="V57" i="9"/>
  <c r="V87" i="9"/>
  <c r="V70" i="9"/>
  <c r="V74" i="9"/>
  <c r="V62" i="9"/>
  <c r="V41" i="9" l="1"/>
  <c r="V86" i="9" l="1"/>
  <c r="D45" i="19" l="1"/>
  <c r="D38" i="19"/>
  <c r="D35" i="19"/>
  <c r="D29" i="19"/>
  <c r="F29" i="19"/>
  <c r="F28" i="19"/>
  <c r="D28" i="19"/>
  <c r="D26" i="19"/>
  <c r="D22" i="19"/>
  <c r="D23" i="19"/>
  <c r="D18" i="19" l="1"/>
  <c r="D13" i="19"/>
  <c r="D10" i="19"/>
  <c r="D165" i="2" l="1"/>
  <c r="D167" i="2"/>
  <c r="D168" i="2"/>
  <c r="D169" i="2"/>
  <c r="D16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17" i="2"/>
  <c r="D18" i="2"/>
  <c r="D19" i="2"/>
  <c r="D20" i="2"/>
  <c r="D21" i="2"/>
  <c r="D22" i="2"/>
  <c r="D16" i="2"/>
  <c r="D150" i="2" l="1"/>
  <c r="D149" i="2"/>
  <c r="D138" i="2"/>
  <c r="D139" i="2"/>
  <c r="D140" i="2"/>
  <c r="D141" i="2"/>
  <c r="D142" i="2"/>
  <c r="D137" i="2"/>
  <c r="D132" i="2" l="1"/>
  <c r="D131" i="2"/>
  <c r="D130" i="2" l="1"/>
  <c r="D118" i="2"/>
  <c r="D117" i="2"/>
  <c r="D116" i="2"/>
  <c r="D115" i="2"/>
  <c r="D114" i="2"/>
  <c r="D113" i="2"/>
  <c r="D107" i="2"/>
  <c r="F116" i="2"/>
  <c r="F101" i="2"/>
  <c r="D103" i="2"/>
  <c r="D102" i="2"/>
  <c r="D101" i="2"/>
  <c r="D100" i="2"/>
  <c r="D99" i="2"/>
  <c r="D98" i="2"/>
  <c r="D97" i="2"/>
  <c r="D96" i="2"/>
  <c r="D93" i="2"/>
  <c r="D83" i="2"/>
  <c r="D82" i="2"/>
  <c r="D81" i="2"/>
  <c r="D80" i="2"/>
  <c r="D79" i="2"/>
  <c r="D57" i="2"/>
  <c r="D58" i="2"/>
  <c r="D59" i="2"/>
  <c r="D60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F78" i="2"/>
  <c r="D78" i="2" s="1"/>
  <c r="F61" i="2"/>
  <c r="D61" i="2" s="1"/>
  <c r="D56" i="2"/>
  <c r="D11" i="2"/>
  <c r="D12" i="2"/>
  <c r="D14" i="2"/>
  <c r="F13" i="2"/>
  <c r="D13" i="2" s="1"/>
  <c r="D10" i="2"/>
  <c r="F9" i="2"/>
  <c r="D9" i="2" s="1"/>
  <c r="E28" i="19"/>
  <c r="C15" i="3" l="1"/>
  <c r="C14" i="3"/>
  <c r="C12" i="3"/>
  <c r="C11" i="3"/>
  <c r="C10" i="3"/>
  <c r="C59" i="18"/>
  <c r="C58" i="18"/>
  <c r="C53" i="18" s="1"/>
  <c r="C55" i="18"/>
  <c r="C51" i="18"/>
  <c r="C100" i="18"/>
  <c r="C94" i="18"/>
  <c r="C75" i="18"/>
  <c r="C74" i="18"/>
  <c r="C73" i="18" s="1"/>
  <c r="C72" i="18"/>
  <c r="C71" i="18"/>
  <c r="C70" i="18"/>
  <c r="C69" i="18"/>
  <c r="C45" i="18"/>
  <c r="C43" i="18" s="1"/>
  <c r="C34" i="18" s="1"/>
  <c r="C42" i="18"/>
  <c r="C41" i="18"/>
  <c r="C40" i="18"/>
  <c r="C39" i="18"/>
  <c r="C38" i="18"/>
  <c r="C36" i="18"/>
  <c r="C35" i="18"/>
  <c r="C33" i="18"/>
  <c r="C32" i="18"/>
  <c r="C31" i="18"/>
  <c r="C29" i="18"/>
  <c r="C28" i="18"/>
  <c r="C21" i="18"/>
  <c r="C20" i="18"/>
  <c r="C19" i="18" s="1"/>
  <c r="C14" i="18"/>
  <c r="C13" i="18"/>
  <c r="C10" i="18"/>
  <c r="C50" i="19"/>
  <c r="C46" i="19"/>
  <c r="C45" i="19"/>
  <c r="C42" i="19" s="1"/>
  <c r="C38" i="19"/>
  <c r="C37" i="19" s="1"/>
  <c r="C33" i="19" s="1"/>
  <c r="C35" i="19"/>
  <c r="C30" i="19"/>
  <c r="C29" i="19"/>
  <c r="C28" i="19"/>
  <c r="C26" i="19"/>
  <c r="C23" i="19"/>
  <c r="C22" i="19"/>
  <c r="C18" i="19"/>
  <c r="C17" i="19"/>
  <c r="C14" i="19"/>
  <c r="C13" i="19"/>
  <c r="C10" i="19"/>
  <c r="C9" i="19" s="1"/>
  <c r="C169" i="2"/>
  <c r="C168" i="2"/>
  <c r="C167" i="2"/>
  <c r="C166" i="2"/>
  <c r="C165" i="2"/>
  <c r="C164" i="2"/>
  <c r="C142" i="2"/>
  <c r="C141" i="2"/>
  <c r="C139" i="2"/>
  <c r="C138" i="2"/>
  <c r="C136" i="2" s="1"/>
  <c r="C134" i="2" s="1"/>
  <c r="C137" i="2"/>
  <c r="C144" i="2"/>
  <c r="C132" i="2"/>
  <c r="C130" i="2" s="1"/>
  <c r="C128" i="2" s="1"/>
  <c r="C131" i="2"/>
  <c r="C118" i="2"/>
  <c r="C117" i="2"/>
  <c r="C116" i="2"/>
  <c r="C115" i="2"/>
  <c r="C114" i="2"/>
  <c r="C113" i="2"/>
  <c r="C112" i="2" s="1"/>
  <c r="C107" i="2"/>
  <c r="C103" i="2"/>
  <c r="C102" i="2"/>
  <c r="C101" i="2"/>
  <c r="C100" i="2"/>
  <c r="C99" i="2"/>
  <c r="C98" i="2"/>
  <c r="C97" i="2"/>
  <c r="C95" i="2" s="1"/>
  <c r="C92" i="2" s="1"/>
  <c r="C96" i="2"/>
  <c r="C93" i="2"/>
  <c r="C91" i="2"/>
  <c r="C85" i="2"/>
  <c r="C79" i="2"/>
  <c r="C77" i="2"/>
  <c r="C71" i="2"/>
  <c r="C70" i="2"/>
  <c r="C67" i="2"/>
  <c r="C66" i="2"/>
  <c r="C65" i="2"/>
  <c r="C64" i="2"/>
  <c r="C63" i="2"/>
  <c r="D31" i="10" s="1"/>
  <c r="D35" i="10" s="1"/>
  <c r="C62" i="2"/>
  <c r="C61" i="2"/>
  <c r="C56" i="2"/>
  <c r="C53" i="2"/>
  <c r="C52" i="2"/>
  <c r="C51" i="2"/>
  <c r="C50" i="2"/>
  <c r="C49" i="2"/>
  <c r="C47" i="2"/>
  <c r="C45" i="2"/>
  <c r="C44" i="2"/>
  <c r="C41" i="2"/>
  <c r="C40" i="2"/>
  <c r="C39" i="2"/>
  <c r="C37" i="2"/>
  <c r="C36" i="2"/>
  <c r="C34" i="2"/>
  <c r="C33" i="2"/>
  <c r="C32" i="2"/>
  <c r="C31" i="2"/>
  <c r="C30" i="2"/>
  <c r="C29" i="2"/>
  <c r="C28" i="2"/>
  <c r="C27" i="2"/>
  <c r="C26" i="2"/>
  <c r="C25" i="2"/>
  <c r="C24" i="2"/>
  <c r="C22" i="2"/>
  <c r="C21" i="2"/>
  <c r="C20" i="2"/>
  <c r="C19" i="2"/>
  <c r="C18" i="2"/>
  <c r="C17" i="2"/>
  <c r="C16" i="2"/>
  <c r="C14" i="2"/>
  <c r="C13" i="2"/>
  <c r="C12" i="2"/>
  <c r="C10" i="2"/>
  <c r="C9" i="2"/>
  <c r="C55" i="2" l="1"/>
  <c r="D32" i="10"/>
  <c r="D36" i="10" s="1"/>
  <c r="C23" i="2"/>
  <c r="C106" i="2"/>
  <c r="E95" i="2"/>
  <c r="X70" i="9" l="1"/>
  <c r="E37" i="19" l="1"/>
  <c r="Q8" i="9" l="1"/>
  <c r="D136" i="14"/>
  <c r="D137" i="14"/>
  <c r="D135" i="14"/>
  <c r="D133" i="14"/>
  <c r="D13" i="3"/>
  <c r="D11" i="3"/>
  <c r="D41" i="18" l="1"/>
  <c r="H144" i="2" l="1"/>
  <c r="D25" i="10" l="1"/>
  <c r="D21" i="10"/>
  <c r="D29" i="10"/>
  <c r="D33" i="10" s="1"/>
  <c r="C21" i="19"/>
  <c r="C53" i="19" s="1"/>
  <c r="C163" i="2" l="1"/>
  <c r="C54" i="14"/>
  <c r="F65" i="14"/>
  <c r="E65" i="14"/>
  <c r="G150" i="2"/>
  <c r="V61" i="9"/>
  <c r="AD61" i="9" s="1"/>
  <c r="F13" i="3" s="1"/>
  <c r="U61" i="9"/>
  <c r="W57" i="9"/>
  <c r="W58" i="9"/>
  <c r="W59" i="9"/>
  <c r="W60" i="9"/>
  <c r="V55" i="9"/>
  <c r="W55" i="9" s="1"/>
  <c r="T8" i="9"/>
  <c r="H31" i="10"/>
  <c r="D53" i="18"/>
  <c r="D43" i="18"/>
  <c r="D40" i="18"/>
  <c r="D30" i="18"/>
  <c r="D19" i="18"/>
  <c r="D9" i="18" s="1"/>
  <c r="D15" i="18"/>
  <c r="D50" i="19"/>
  <c r="D46" i="19"/>
  <c r="D37" i="19"/>
  <c r="D33" i="19" s="1"/>
  <c r="D100" i="14" s="1"/>
  <c r="D30" i="19"/>
  <c r="D21" i="19"/>
  <c r="D136" i="2"/>
  <c r="D112" i="2"/>
  <c r="D106" i="2" s="1"/>
  <c r="D44" i="14" s="1"/>
  <c r="D95" i="2"/>
  <c r="D92" i="2" s="1"/>
  <c r="D41" i="14" s="1"/>
  <c r="D23" i="2"/>
  <c r="C101" i="14"/>
  <c r="C100" i="14"/>
  <c r="C97" i="14"/>
  <c r="C85" i="14"/>
  <c r="C81" i="14"/>
  <c r="C170" i="2"/>
  <c r="C77" i="14" s="1"/>
  <c r="C158" i="2"/>
  <c r="C34" i="14"/>
  <c r="C8" i="2"/>
  <c r="C151" i="2" s="1"/>
  <c r="L26" i="10"/>
  <c r="L24" i="10"/>
  <c r="L23" i="10"/>
  <c r="L22" i="10"/>
  <c r="H99" i="18"/>
  <c r="F27" i="10"/>
  <c r="F31" i="10" s="1"/>
  <c r="F35" i="10" s="1"/>
  <c r="AD36" i="9"/>
  <c r="AD37" i="9"/>
  <c r="AD38" i="9"/>
  <c r="AE38" i="9" s="1"/>
  <c r="AD39" i="9"/>
  <c r="AD40" i="9"/>
  <c r="AD41" i="9"/>
  <c r="AC41" i="9"/>
  <c r="AD42" i="9"/>
  <c r="AD43" i="9"/>
  <c r="AD44" i="9"/>
  <c r="AD45" i="9"/>
  <c r="AF45" i="9" s="1"/>
  <c r="AC45" i="9"/>
  <c r="AD46" i="9"/>
  <c r="AC46" i="9"/>
  <c r="AD47" i="9"/>
  <c r="AF47" i="9" s="1"/>
  <c r="AC47" i="9"/>
  <c r="AD48" i="9"/>
  <c r="AD49" i="9"/>
  <c r="AC49" i="9"/>
  <c r="AE49" i="9" s="1"/>
  <c r="AD50" i="9"/>
  <c r="AC50" i="9"/>
  <c r="AD51" i="9"/>
  <c r="AC51" i="9"/>
  <c r="AF51" i="9" s="1"/>
  <c r="AD52" i="9"/>
  <c r="AD53" i="9"/>
  <c r="AE53" i="9" s="1"/>
  <c r="AD54" i="9"/>
  <c r="AF54" i="9" s="1"/>
  <c r="AD56" i="9"/>
  <c r="AE56" i="9" s="1"/>
  <c r="AD57" i="9"/>
  <c r="AD58" i="9"/>
  <c r="AD60" i="9"/>
  <c r="AC61" i="9"/>
  <c r="E13" i="3" s="1"/>
  <c r="E118" i="14" s="1"/>
  <c r="AD62" i="9"/>
  <c r="AD64" i="9"/>
  <c r="AD65" i="9"/>
  <c r="AD66" i="9"/>
  <c r="AE66" i="9" s="1"/>
  <c r="AD67" i="9"/>
  <c r="AD68" i="9"/>
  <c r="AD69" i="9"/>
  <c r="AD70" i="9"/>
  <c r="AE70" i="9" s="1"/>
  <c r="AD71" i="9"/>
  <c r="AD84" i="9"/>
  <c r="AD85" i="9"/>
  <c r="AD87" i="9"/>
  <c r="AE87" i="9" s="1"/>
  <c r="W87" i="9"/>
  <c r="G21" i="11"/>
  <c r="F131" i="14" s="1"/>
  <c r="F112" i="2"/>
  <c r="F106" i="2" s="1"/>
  <c r="F44" i="14" s="1"/>
  <c r="F8" i="2"/>
  <c r="H8" i="2" s="1"/>
  <c r="F23" i="2"/>
  <c r="F15" i="2" s="1"/>
  <c r="F77" i="2"/>
  <c r="F55" i="2" s="1"/>
  <c r="F34" i="14" s="1"/>
  <c r="F85" i="2"/>
  <c r="F95" i="2"/>
  <c r="F92" i="2" s="1"/>
  <c r="F130" i="2"/>
  <c r="F128" i="2" s="1"/>
  <c r="F136" i="2"/>
  <c r="F134" i="2" s="1"/>
  <c r="F56" i="14" s="1"/>
  <c r="V33" i="9"/>
  <c r="G69" i="18"/>
  <c r="F28" i="10"/>
  <c r="F32" i="10" s="1"/>
  <c r="F36" i="10" s="1"/>
  <c r="G44" i="18"/>
  <c r="H44" i="18"/>
  <c r="G45" i="18"/>
  <c r="H45" i="18"/>
  <c r="H10" i="18"/>
  <c r="E112" i="2"/>
  <c r="E106" i="2" s="1"/>
  <c r="E44" i="14" s="1"/>
  <c r="E8" i="2"/>
  <c r="E31" i="14" s="1"/>
  <c r="E23" i="2"/>
  <c r="E15" i="2" s="1"/>
  <c r="E77" i="2"/>
  <c r="E55" i="2" s="1"/>
  <c r="G55" i="2" s="1"/>
  <c r="E85" i="2"/>
  <c r="E92" i="2"/>
  <c r="E130" i="2"/>
  <c r="E128" i="2" s="1"/>
  <c r="E136" i="2"/>
  <c r="E134" i="2" s="1"/>
  <c r="D21" i="11"/>
  <c r="D17" i="11"/>
  <c r="D16" i="11"/>
  <c r="C130" i="14" s="1"/>
  <c r="C156" i="2"/>
  <c r="C157" i="2"/>
  <c r="C160" i="2"/>
  <c r="C139" i="14"/>
  <c r="F30" i="10"/>
  <c r="G54" i="18"/>
  <c r="H54" i="18"/>
  <c r="G56" i="18"/>
  <c r="G57" i="18"/>
  <c r="G67" i="18"/>
  <c r="N83" i="9"/>
  <c r="R83" i="9"/>
  <c r="V83" i="9"/>
  <c r="Z83" i="9"/>
  <c r="G73" i="18"/>
  <c r="E53" i="18"/>
  <c r="F37" i="19"/>
  <c r="E43" i="18"/>
  <c r="F43" i="18"/>
  <c r="H43" i="18" s="1"/>
  <c r="F30" i="18"/>
  <c r="AC72" i="9"/>
  <c r="AD72" i="9"/>
  <c r="AC73" i="9"/>
  <c r="AD73" i="9"/>
  <c r="AC74" i="9"/>
  <c r="AD74" i="9"/>
  <c r="AC75" i="9"/>
  <c r="AD75" i="9"/>
  <c r="AC76" i="9"/>
  <c r="AD76" i="9"/>
  <c r="AC77" i="9"/>
  <c r="AD77" i="9"/>
  <c r="AC78" i="9"/>
  <c r="AD78" i="9"/>
  <c r="AC79" i="9"/>
  <c r="AD79" i="9"/>
  <c r="AC57" i="9"/>
  <c r="AC58" i="9"/>
  <c r="AC60" i="9"/>
  <c r="AE60" i="9" s="1"/>
  <c r="AC62" i="9"/>
  <c r="W73" i="9"/>
  <c r="W74" i="9"/>
  <c r="W75" i="9"/>
  <c r="W76" i="9"/>
  <c r="W77" i="9"/>
  <c r="W78" i="9"/>
  <c r="W79" i="9"/>
  <c r="V31" i="9"/>
  <c r="AD31" i="9" s="1"/>
  <c r="F10" i="3" s="1"/>
  <c r="D145" i="14"/>
  <c r="D141" i="14"/>
  <c r="E16" i="11" s="1"/>
  <c r="D130" i="14" s="1"/>
  <c r="D140" i="14"/>
  <c r="D134" i="14"/>
  <c r="W32" i="9"/>
  <c r="Z8" i="9"/>
  <c r="W8" i="9"/>
  <c r="U9" i="9" s="1"/>
  <c r="D89" i="14"/>
  <c r="D86" i="14"/>
  <c r="F9" i="19"/>
  <c r="D163" i="2"/>
  <c r="D70" i="14" s="1"/>
  <c r="D128" i="2"/>
  <c r="D54" i="14" s="1"/>
  <c r="D85" i="2"/>
  <c r="D84" i="2"/>
  <c r="D77" i="2" s="1"/>
  <c r="D55" i="2" s="1"/>
  <c r="H21" i="10"/>
  <c r="F156" i="14" s="1"/>
  <c r="D93" i="14"/>
  <c r="F15" i="18"/>
  <c r="F19" i="18"/>
  <c r="F9" i="18" s="1"/>
  <c r="E19" i="18"/>
  <c r="F40" i="18"/>
  <c r="E40" i="18"/>
  <c r="AA22" i="9"/>
  <c r="AC22" i="9" s="1"/>
  <c r="W22" i="9"/>
  <c r="Y22" i="9"/>
  <c r="F139" i="14"/>
  <c r="D139" i="14"/>
  <c r="E157" i="2"/>
  <c r="E159" i="2"/>
  <c r="F159" i="2"/>
  <c r="G159" i="2"/>
  <c r="E158" i="2"/>
  <c r="E156" i="2"/>
  <c r="F93" i="18"/>
  <c r="E93" i="18"/>
  <c r="G99" i="18"/>
  <c r="E30" i="18"/>
  <c r="C30" i="18" s="1"/>
  <c r="C27" i="18" s="1"/>
  <c r="E68" i="18"/>
  <c r="N33" i="9"/>
  <c r="N92" i="9" s="1"/>
  <c r="F122" i="14" s="1"/>
  <c r="G122" i="14" s="1"/>
  <c r="R33" i="9"/>
  <c r="Z33" i="9"/>
  <c r="V63" i="9"/>
  <c r="AD63" i="9" s="1"/>
  <c r="F14" i="3" s="1"/>
  <c r="F119" i="14" s="1"/>
  <c r="N63" i="9"/>
  <c r="R63" i="9"/>
  <c r="Z63" i="9"/>
  <c r="Z92" i="9"/>
  <c r="F125" i="14" s="1"/>
  <c r="W72" i="9"/>
  <c r="X72" i="9"/>
  <c r="W82" i="9"/>
  <c r="W35" i="9"/>
  <c r="W36" i="9"/>
  <c r="W37" i="9"/>
  <c r="W38" i="9"/>
  <c r="W39" i="9"/>
  <c r="W40" i="9"/>
  <c r="W41" i="9"/>
  <c r="E131" i="14"/>
  <c r="E130" i="14"/>
  <c r="G130" i="14" s="1"/>
  <c r="E139" i="14"/>
  <c r="F159" i="14"/>
  <c r="F158" i="14"/>
  <c r="F157" i="14"/>
  <c r="H157" i="14" s="1"/>
  <c r="F134" i="14"/>
  <c r="G134" i="14" s="1"/>
  <c r="E134" i="14"/>
  <c r="G135" i="14"/>
  <c r="H135" i="14"/>
  <c r="G136" i="14"/>
  <c r="H136" i="14"/>
  <c r="G72" i="18"/>
  <c r="G74" i="18"/>
  <c r="H74" i="18"/>
  <c r="G20" i="18"/>
  <c r="H20" i="18"/>
  <c r="G21" i="18"/>
  <c r="H21" i="18"/>
  <c r="G22" i="18"/>
  <c r="U83" i="9"/>
  <c r="AC83" i="9" s="1"/>
  <c r="E15" i="3" s="1"/>
  <c r="M83" i="9"/>
  <c r="Q83" i="9"/>
  <c r="Y83" i="9"/>
  <c r="AC70" i="9"/>
  <c r="AC71" i="9"/>
  <c r="AE82" i="9"/>
  <c r="AF82" i="9"/>
  <c r="AE88" i="9"/>
  <c r="AF88" i="9"/>
  <c r="AE89" i="9"/>
  <c r="AF89" i="9"/>
  <c r="AE90" i="9"/>
  <c r="AF90" i="9"/>
  <c r="AE91" i="9"/>
  <c r="AF91" i="9"/>
  <c r="U63" i="9"/>
  <c r="X63" i="9" s="1"/>
  <c r="U55" i="9"/>
  <c r="AC55" i="9" s="1"/>
  <c r="E12" i="3" s="1"/>
  <c r="G79" i="18"/>
  <c r="G80" i="18"/>
  <c r="G81" i="18"/>
  <c r="G82" i="18"/>
  <c r="G83" i="18"/>
  <c r="G85" i="18"/>
  <c r="G87" i="18"/>
  <c r="G89" i="18"/>
  <c r="G90" i="18"/>
  <c r="G91" i="18"/>
  <c r="G92" i="18"/>
  <c r="G94" i="18"/>
  <c r="G95" i="18"/>
  <c r="G96" i="18"/>
  <c r="G50" i="18"/>
  <c r="H50" i="18"/>
  <c r="G57" i="10"/>
  <c r="D57" i="10"/>
  <c r="G56" i="10"/>
  <c r="M56" i="10" s="1"/>
  <c r="D56" i="10"/>
  <c r="G55" i="10"/>
  <c r="D55" i="10"/>
  <c r="G54" i="10"/>
  <c r="I54" i="10" s="1"/>
  <c r="D54" i="10"/>
  <c r="G72" i="2"/>
  <c r="G73" i="2"/>
  <c r="G74" i="2"/>
  <c r="H74" i="2"/>
  <c r="G75" i="2"/>
  <c r="G76" i="2"/>
  <c r="G57" i="2"/>
  <c r="G58" i="2"/>
  <c r="G59" i="2"/>
  <c r="G60" i="2"/>
  <c r="H60" i="2"/>
  <c r="G67" i="2"/>
  <c r="G68" i="2"/>
  <c r="G69" i="2"/>
  <c r="G9" i="2"/>
  <c r="H9" i="2"/>
  <c r="G10" i="2"/>
  <c r="H10" i="2"/>
  <c r="G11" i="2"/>
  <c r="G12" i="2"/>
  <c r="H12" i="2"/>
  <c r="G13" i="2"/>
  <c r="H13" i="2"/>
  <c r="G14" i="2"/>
  <c r="H14" i="2"/>
  <c r="D121" i="14"/>
  <c r="C121" i="14"/>
  <c r="D42" i="19"/>
  <c r="D101" i="14" s="1"/>
  <c r="AC85" i="9"/>
  <c r="AC86" i="9"/>
  <c r="AD86" i="9"/>
  <c r="AE86" i="9" s="1"/>
  <c r="AC84" i="9"/>
  <c r="AF84" i="9" s="1"/>
  <c r="W86" i="9"/>
  <c r="W85" i="9"/>
  <c r="W84" i="9"/>
  <c r="W67" i="9"/>
  <c r="W68" i="9"/>
  <c r="W69" i="9"/>
  <c r="W70" i="9"/>
  <c r="AC67" i="9"/>
  <c r="AC68" i="9"/>
  <c r="AC69" i="9"/>
  <c r="AA67" i="9"/>
  <c r="AA68" i="9"/>
  <c r="AA69" i="9"/>
  <c r="AA70" i="9"/>
  <c r="W47" i="9"/>
  <c r="W48" i="9"/>
  <c r="W49" i="9"/>
  <c r="W50" i="9"/>
  <c r="W51" i="9"/>
  <c r="W52" i="9"/>
  <c r="W56" i="9"/>
  <c r="X56" i="9"/>
  <c r="W62" i="9"/>
  <c r="W45" i="9"/>
  <c r="W46" i="9"/>
  <c r="AA45" i="9"/>
  <c r="AA46" i="9"/>
  <c r="AA47" i="9"/>
  <c r="AA48" i="9"/>
  <c r="AA49" i="9"/>
  <c r="AC48" i="9"/>
  <c r="AE48" i="9" s="1"/>
  <c r="AC52" i="9"/>
  <c r="AC56" i="9"/>
  <c r="AD34" i="9"/>
  <c r="AC34" i="9"/>
  <c r="AE34" i="9" s="1"/>
  <c r="AD35" i="9"/>
  <c r="AC35" i="9"/>
  <c r="AC36" i="9"/>
  <c r="AC37" i="9"/>
  <c r="AE37" i="9" s="1"/>
  <c r="AC38" i="9"/>
  <c r="AC39" i="9"/>
  <c r="AC40" i="9"/>
  <c r="M63" i="9"/>
  <c r="Q63" i="9"/>
  <c r="Y63" i="9"/>
  <c r="Y33" i="9"/>
  <c r="M33" i="9"/>
  <c r="M92" i="9" s="1"/>
  <c r="E122" i="14" s="1"/>
  <c r="Q33" i="9"/>
  <c r="U33" i="9"/>
  <c r="E157" i="14"/>
  <c r="E158" i="14"/>
  <c r="G158" i="14" s="1"/>
  <c r="E159" i="14"/>
  <c r="G159" i="14" s="1"/>
  <c r="F21" i="10"/>
  <c r="E156" i="14" s="1"/>
  <c r="D84" i="18"/>
  <c r="D78" i="18" s="1"/>
  <c r="D88" i="18"/>
  <c r="D93" i="18"/>
  <c r="D86" i="18" s="1"/>
  <c r="E84" i="18"/>
  <c r="E78" i="18" s="1"/>
  <c r="F84" i="18"/>
  <c r="C84" i="18"/>
  <c r="C78" i="18"/>
  <c r="E9" i="19"/>
  <c r="E81" i="14" s="1"/>
  <c r="D157" i="2"/>
  <c r="D159" i="2"/>
  <c r="D158" i="2"/>
  <c r="D160" i="2"/>
  <c r="D156" i="2"/>
  <c r="G154" i="14"/>
  <c r="G153" i="14"/>
  <c r="G152" i="14"/>
  <c r="G150" i="14"/>
  <c r="G149" i="14"/>
  <c r="G148" i="14"/>
  <c r="D151" i="14"/>
  <c r="E151" i="14"/>
  <c r="G151" i="14" s="1"/>
  <c r="F151" i="14"/>
  <c r="C151" i="14"/>
  <c r="D147" i="14"/>
  <c r="E147" i="14"/>
  <c r="F147" i="14"/>
  <c r="G147" i="14" s="1"/>
  <c r="C147" i="14"/>
  <c r="C134" i="14"/>
  <c r="G16" i="11"/>
  <c r="F130" i="14" s="1"/>
  <c r="C131" i="14"/>
  <c r="R92" i="9"/>
  <c r="F123" i="14" s="1"/>
  <c r="AC31" i="9"/>
  <c r="E10" i="3" s="1"/>
  <c r="E115" i="14" s="1"/>
  <c r="D118" i="14"/>
  <c r="C116" i="14"/>
  <c r="C117" i="14"/>
  <c r="C118" i="14"/>
  <c r="C119" i="14"/>
  <c r="C120" i="14"/>
  <c r="C115" i="14"/>
  <c r="D62" i="18"/>
  <c r="E15" i="18"/>
  <c r="G15" i="18" s="1"/>
  <c r="E66" i="18"/>
  <c r="E62" i="18" s="1"/>
  <c r="E76" i="18" s="1"/>
  <c r="E109" i="14" s="1"/>
  <c r="E88" i="18"/>
  <c r="F62" i="18"/>
  <c r="F88" i="18"/>
  <c r="F86" i="18" s="1"/>
  <c r="C66" i="18"/>
  <c r="C62" i="18" s="1"/>
  <c r="C88" i="18"/>
  <c r="C93" i="18"/>
  <c r="C86" i="18" s="1"/>
  <c r="C97" i="18" s="1"/>
  <c r="C110" i="14" s="1"/>
  <c r="E111" i="14"/>
  <c r="C111" i="14"/>
  <c r="E107" i="14"/>
  <c r="C107" i="14"/>
  <c r="E30" i="19"/>
  <c r="E21" i="19" s="1"/>
  <c r="E92" i="14" s="1"/>
  <c r="F33" i="19"/>
  <c r="F100" i="14" s="1"/>
  <c r="F46" i="19"/>
  <c r="F42" i="19"/>
  <c r="F101" i="14" s="1"/>
  <c r="D103" i="14"/>
  <c r="E103" i="14"/>
  <c r="F103" i="14"/>
  <c r="H103" i="14"/>
  <c r="C103" i="14"/>
  <c r="D102" i="14"/>
  <c r="E102" i="14"/>
  <c r="F102" i="14"/>
  <c r="G102" i="14" s="1"/>
  <c r="C102" i="14"/>
  <c r="D96" i="14"/>
  <c r="E96" i="14"/>
  <c r="F96" i="14"/>
  <c r="G96" i="14" s="1"/>
  <c r="D97" i="14"/>
  <c r="E97" i="14"/>
  <c r="F97" i="14"/>
  <c r="D98" i="14"/>
  <c r="E98" i="14"/>
  <c r="F98" i="14"/>
  <c r="E99" i="14"/>
  <c r="F99" i="14"/>
  <c r="C98" i="14"/>
  <c r="C99" i="14"/>
  <c r="C96" i="14"/>
  <c r="D94" i="14"/>
  <c r="E94" i="14"/>
  <c r="F94" i="14"/>
  <c r="D95" i="14"/>
  <c r="E95" i="14"/>
  <c r="F95" i="14"/>
  <c r="C95" i="14"/>
  <c r="C94" i="14"/>
  <c r="E93" i="14"/>
  <c r="F93" i="14"/>
  <c r="C93" i="14"/>
  <c r="D88" i="14"/>
  <c r="E88" i="14"/>
  <c r="F88" i="14"/>
  <c r="G88" i="14" s="1"/>
  <c r="E89" i="14"/>
  <c r="F89" i="14"/>
  <c r="H89" i="14" s="1"/>
  <c r="C89" i="14"/>
  <c r="C88" i="14"/>
  <c r="D87" i="14"/>
  <c r="E87" i="14"/>
  <c r="F87" i="14"/>
  <c r="C87" i="14"/>
  <c r="E86" i="14"/>
  <c r="F86" i="14"/>
  <c r="C86" i="14"/>
  <c r="D85" i="14"/>
  <c r="E85" i="14"/>
  <c r="F85" i="14"/>
  <c r="G85" i="14" s="1"/>
  <c r="D83" i="14"/>
  <c r="E83" i="14"/>
  <c r="F83" i="14"/>
  <c r="C83" i="14"/>
  <c r="E82" i="14"/>
  <c r="F82" i="14"/>
  <c r="C82" i="14"/>
  <c r="F81" i="14"/>
  <c r="D80" i="14"/>
  <c r="E80" i="14"/>
  <c r="F80" i="14"/>
  <c r="C80" i="14"/>
  <c r="C71" i="14"/>
  <c r="D71" i="14"/>
  <c r="E71" i="14"/>
  <c r="F71" i="14"/>
  <c r="C72" i="14"/>
  <c r="D72" i="14"/>
  <c r="E72" i="14"/>
  <c r="F72" i="14"/>
  <c r="H72" i="14" s="1"/>
  <c r="C73" i="14"/>
  <c r="D73" i="14"/>
  <c r="E73" i="14"/>
  <c r="F73" i="14"/>
  <c r="G73" i="14" s="1"/>
  <c r="C74" i="14"/>
  <c r="D74" i="14"/>
  <c r="E74" i="14"/>
  <c r="F74" i="14"/>
  <c r="H74" i="14" s="1"/>
  <c r="C75" i="14"/>
  <c r="D75" i="14"/>
  <c r="E75" i="14"/>
  <c r="F75" i="14"/>
  <c r="H75" i="14" s="1"/>
  <c r="C76" i="14"/>
  <c r="D76" i="14"/>
  <c r="E76" i="14"/>
  <c r="F76" i="14"/>
  <c r="D170" i="2"/>
  <c r="D77" i="14" s="1"/>
  <c r="E163" i="2"/>
  <c r="F163" i="2"/>
  <c r="F70" i="14" s="1"/>
  <c r="C70" i="14"/>
  <c r="D65" i="14"/>
  <c r="D59" i="14"/>
  <c r="E59" i="14"/>
  <c r="F59" i="14"/>
  <c r="D60" i="14"/>
  <c r="E60" i="14"/>
  <c r="F60" i="14"/>
  <c r="G60" i="14" s="1"/>
  <c r="D61" i="14"/>
  <c r="E61" i="14"/>
  <c r="G61" i="14" s="1"/>
  <c r="F61" i="14"/>
  <c r="D62" i="14"/>
  <c r="E62" i="14"/>
  <c r="G62" i="14" s="1"/>
  <c r="F62" i="14"/>
  <c r="C60" i="14"/>
  <c r="C61" i="14"/>
  <c r="C59" i="14"/>
  <c r="D57" i="14"/>
  <c r="E57" i="14"/>
  <c r="F57" i="14"/>
  <c r="D55" i="14"/>
  <c r="E55" i="14"/>
  <c r="F55" i="14"/>
  <c r="G55" i="14" s="1"/>
  <c r="F50" i="14"/>
  <c r="G50" i="14" s="1"/>
  <c r="E50" i="14"/>
  <c r="F51" i="14"/>
  <c r="E51" i="14"/>
  <c r="F52" i="14"/>
  <c r="E52" i="14"/>
  <c r="G52" i="14"/>
  <c r="F53" i="14"/>
  <c r="E53" i="14"/>
  <c r="D50" i="14"/>
  <c r="D51" i="14"/>
  <c r="D52" i="14"/>
  <c r="D53" i="14"/>
  <c r="C52" i="14"/>
  <c r="C51" i="14"/>
  <c r="C50" i="14"/>
  <c r="E160" i="2"/>
  <c r="F158" i="2"/>
  <c r="G158" i="2" s="1"/>
  <c r="F157" i="2"/>
  <c r="G157" i="2" s="1"/>
  <c r="F156" i="2"/>
  <c r="G156" i="2" s="1"/>
  <c r="D45" i="14"/>
  <c r="E45" i="14"/>
  <c r="F45" i="14"/>
  <c r="G45" i="14" s="1"/>
  <c r="D46" i="14"/>
  <c r="E46" i="14"/>
  <c r="F46" i="14"/>
  <c r="C46" i="14"/>
  <c r="C45" i="14"/>
  <c r="F35" i="14"/>
  <c r="E35" i="14"/>
  <c r="F36" i="14"/>
  <c r="G36" i="14" s="1"/>
  <c r="E36" i="14"/>
  <c r="F37" i="14"/>
  <c r="E37" i="14"/>
  <c r="G37" i="14"/>
  <c r="F38" i="14"/>
  <c r="E38" i="14"/>
  <c r="F39" i="14"/>
  <c r="E39" i="14"/>
  <c r="G39" i="14" s="1"/>
  <c r="F40" i="14"/>
  <c r="E40" i="14"/>
  <c r="F42" i="14"/>
  <c r="E42" i="14"/>
  <c r="F43" i="14"/>
  <c r="E43" i="14"/>
  <c r="G46" i="14"/>
  <c r="D42" i="14"/>
  <c r="D43" i="14"/>
  <c r="C42" i="14"/>
  <c r="D40" i="14"/>
  <c r="C40" i="14"/>
  <c r="C38" i="14"/>
  <c r="D38" i="14"/>
  <c r="C39" i="14"/>
  <c r="D39" i="14"/>
  <c r="D37" i="14"/>
  <c r="C37" i="14"/>
  <c r="C36" i="14"/>
  <c r="D36" i="14"/>
  <c r="D35" i="14"/>
  <c r="C35" i="14"/>
  <c r="H69" i="18"/>
  <c r="G65" i="18"/>
  <c r="G64" i="18"/>
  <c r="G63" i="18"/>
  <c r="G46" i="18"/>
  <c r="G47" i="18"/>
  <c r="H47" i="18"/>
  <c r="G51" i="18"/>
  <c r="H51" i="18"/>
  <c r="G52" i="18"/>
  <c r="G58" i="18"/>
  <c r="H58" i="18"/>
  <c r="G26" i="18"/>
  <c r="H26" i="18"/>
  <c r="G28" i="18"/>
  <c r="H28" i="18"/>
  <c r="G29" i="18"/>
  <c r="H29" i="18"/>
  <c r="G30" i="18"/>
  <c r="G31" i="18"/>
  <c r="G32" i="18"/>
  <c r="G33" i="18"/>
  <c r="G35" i="18"/>
  <c r="H35" i="18"/>
  <c r="G36" i="18"/>
  <c r="H36" i="18"/>
  <c r="G37" i="18"/>
  <c r="G38" i="18"/>
  <c r="H38" i="18"/>
  <c r="G39" i="18"/>
  <c r="H39" i="18"/>
  <c r="G41" i="18"/>
  <c r="H41" i="18"/>
  <c r="G42" i="18"/>
  <c r="G10" i="18"/>
  <c r="G11" i="18"/>
  <c r="G12" i="18"/>
  <c r="G13" i="18"/>
  <c r="G14" i="18"/>
  <c r="G16" i="18"/>
  <c r="G17" i="18"/>
  <c r="G18" i="18"/>
  <c r="G23" i="18"/>
  <c r="G24" i="18"/>
  <c r="G22" i="19"/>
  <c r="H22" i="19"/>
  <c r="G23" i="19"/>
  <c r="H23" i="19"/>
  <c r="G25" i="19"/>
  <c r="G26" i="19"/>
  <c r="H26" i="19"/>
  <c r="G27" i="19"/>
  <c r="G28" i="19"/>
  <c r="H28" i="19"/>
  <c r="G29" i="19"/>
  <c r="H29" i="19"/>
  <c r="F30" i="19"/>
  <c r="G30" i="19" s="1"/>
  <c r="G31" i="19"/>
  <c r="H31" i="19"/>
  <c r="G32" i="19"/>
  <c r="H32" i="19"/>
  <c r="G34" i="19"/>
  <c r="G35" i="19"/>
  <c r="H35" i="19"/>
  <c r="G36" i="19"/>
  <c r="G37" i="19"/>
  <c r="G38" i="19"/>
  <c r="H38" i="19"/>
  <c r="G39" i="19"/>
  <c r="H39" i="19"/>
  <c r="G40" i="19"/>
  <c r="H40" i="19"/>
  <c r="G41" i="19"/>
  <c r="H41" i="19"/>
  <c r="G43" i="19"/>
  <c r="G44" i="19"/>
  <c r="G45" i="19"/>
  <c r="H45" i="19"/>
  <c r="E46" i="19"/>
  <c r="G46" i="19" s="1"/>
  <c r="G47" i="19"/>
  <c r="G48" i="19"/>
  <c r="G49" i="19"/>
  <c r="G51" i="19"/>
  <c r="G52" i="19"/>
  <c r="G17" i="19"/>
  <c r="H17" i="19"/>
  <c r="G18" i="19"/>
  <c r="H18" i="19"/>
  <c r="G8" i="19"/>
  <c r="H8" i="19"/>
  <c r="G10" i="19"/>
  <c r="H10" i="19"/>
  <c r="G11" i="19"/>
  <c r="G12" i="19"/>
  <c r="F160" i="2"/>
  <c r="G160" i="2" s="1"/>
  <c r="G153" i="2"/>
  <c r="G144" i="2"/>
  <c r="G146" i="2"/>
  <c r="G147" i="2"/>
  <c r="G98" i="14"/>
  <c r="H88" i="14"/>
  <c r="G84" i="14"/>
  <c r="G82" i="14"/>
  <c r="G68" i="14"/>
  <c r="G69" i="14"/>
  <c r="B114" i="14"/>
  <c r="B112" i="14"/>
  <c r="B111" i="14"/>
  <c r="B110" i="14"/>
  <c r="B109" i="14"/>
  <c r="B108" i="14"/>
  <c r="AC19" i="9"/>
  <c r="AC20" i="9"/>
  <c r="AC21" i="9"/>
  <c r="AE19" i="9"/>
  <c r="AE20" i="9"/>
  <c r="AE21" i="9"/>
  <c r="J22" i="10"/>
  <c r="J23" i="10"/>
  <c r="J24" i="10"/>
  <c r="F25" i="10"/>
  <c r="H25" i="10"/>
  <c r="J26" i="10"/>
  <c r="J27" i="10"/>
  <c r="J28" i="10"/>
  <c r="J30" i="10"/>
  <c r="J31" i="10"/>
  <c r="L21" i="10"/>
  <c r="J21" i="10"/>
  <c r="C9" i="3"/>
  <c r="C114" i="14" s="1"/>
  <c r="D19" i="11" s="1"/>
  <c r="E42" i="19"/>
  <c r="E101" i="14" s="1"/>
  <c r="E50" i="19"/>
  <c r="G50" i="19" s="1"/>
  <c r="F50" i="19"/>
  <c r="G136" i="2"/>
  <c r="G130" i="2"/>
  <c r="H130" i="2"/>
  <c r="H122" i="2"/>
  <c r="G122" i="2"/>
  <c r="H121" i="2"/>
  <c r="G121" i="2"/>
  <c r="H120" i="2"/>
  <c r="G120" i="2"/>
  <c r="H119" i="2"/>
  <c r="G119" i="2"/>
  <c r="H118" i="2"/>
  <c r="G118" i="2"/>
  <c r="G117" i="2"/>
  <c r="G116" i="2"/>
  <c r="H115" i="2"/>
  <c r="G115" i="2"/>
  <c r="H114" i="2"/>
  <c r="G114" i="2"/>
  <c r="G113" i="2"/>
  <c r="G112" i="2"/>
  <c r="G111" i="2"/>
  <c r="G110" i="2"/>
  <c r="G109" i="2"/>
  <c r="G108" i="2"/>
  <c r="G107" i="2"/>
  <c r="G105" i="2"/>
  <c r="H105" i="2"/>
  <c r="G94" i="2"/>
  <c r="G96" i="2"/>
  <c r="H96" i="2"/>
  <c r="G97" i="2"/>
  <c r="H97" i="2"/>
  <c r="H104" i="2"/>
  <c r="G104" i="2"/>
  <c r="H103" i="2"/>
  <c r="G103" i="2"/>
  <c r="H102" i="2"/>
  <c r="G102" i="2"/>
  <c r="H101" i="2"/>
  <c r="G101" i="2"/>
  <c r="G100" i="2"/>
  <c r="G99" i="2"/>
  <c r="H98" i="2"/>
  <c r="G98" i="2"/>
  <c r="G93" i="2"/>
  <c r="H106" i="2"/>
  <c r="G14" i="19"/>
  <c r="G13" i="19"/>
  <c r="G135" i="2"/>
  <c r="G137" i="2"/>
  <c r="G138" i="2"/>
  <c r="G139" i="2"/>
  <c r="G140" i="2"/>
  <c r="G78" i="2"/>
  <c r="G79" i="2"/>
  <c r="G80" i="2"/>
  <c r="G81" i="2"/>
  <c r="G82" i="2"/>
  <c r="G83" i="2"/>
  <c r="G71" i="2"/>
  <c r="G70" i="2"/>
  <c r="G65" i="2"/>
  <c r="G66" i="2"/>
  <c r="G62" i="2"/>
  <c r="G63" i="2"/>
  <c r="G64" i="2"/>
  <c r="G56" i="2"/>
  <c r="G61" i="2"/>
  <c r="G47" i="2"/>
  <c r="G48" i="2"/>
  <c r="G49" i="2"/>
  <c r="G50" i="2"/>
  <c r="G51" i="2"/>
  <c r="G52" i="2"/>
  <c r="G40" i="2"/>
  <c r="G41" i="2"/>
  <c r="G42" i="2"/>
  <c r="G43" i="2"/>
  <c r="G44" i="2"/>
  <c r="G45" i="2"/>
  <c r="G46" i="2"/>
  <c r="G35" i="2"/>
  <c r="G36" i="2"/>
  <c r="G37" i="2"/>
  <c r="G39" i="2"/>
  <c r="G29" i="2"/>
  <c r="G31" i="2"/>
  <c r="G32" i="2"/>
  <c r="G33" i="2"/>
  <c r="G34" i="2"/>
  <c r="G26" i="2"/>
  <c r="G27" i="2"/>
  <c r="G24" i="2"/>
  <c r="G25" i="2"/>
  <c r="G17" i="2"/>
  <c r="G142" i="2"/>
  <c r="G141" i="2"/>
  <c r="G91" i="2"/>
  <c r="N54" i="10"/>
  <c r="L55" i="10"/>
  <c r="L56" i="10"/>
  <c r="L57" i="10"/>
  <c r="L58" i="10"/>
  <c r="K58" i="10"/>
  <c r="K57" i="10"/>
  <c r="K56" i="10"/>
  <c r="K55" i="10"/>
  <c r="K54" i="10"/>
  <c r="G38" i="2"/>
  <c r="G30" i="2"/>
  <c r="G16" i="2"/>
  <c r="G22" i="2"/>
  <c r="G21" i="2"/>
  <c r="G18" i="2"/>
  <c r="G20" i="2"/>
  <c r="G19" i="2"/>
  <c r="AE31" i="9"/>
  <c r="AC42" i="9"/>
  <c r="AC43" i="9"/>
  <c r="AE43" i="9" s="1"/>
  <c r="AC44" i="9"/>
  <c r="AF44" i="9" s="1"/>
  <c r="AC64" i="9"/>
  <c r="AC65" i="9"/>
  <c r="AC66" i="9"/>
  <c r="AA31" i="9"/>
  <c r="AA33" i="9"/>
  <c r="AA55" i="9"/>
  <c r="AA61" i="9"/>
  <c r="AA83" i="9"/>
  <c r="AA42" i="9"/>
  <c r="AA43" i="9"/>
  <c r="AA44" i="9"/>
  <c r="AA50" i="9"/>
  <c r="AA51" i="9"/>
  <c r="AA52" i="9"/>
  <c r="AA56" i="9"/>
  <c r="AA62" i="9"/>
  <c r="AA64" i="9"/>
  <c r="AA65" i="9"/>
  <c r="AA66" i="9"/>
  <c r="AA71" i="9"/>
  <c r="W31" i="9"/>
  <c r="X33" i="9"/>
  <c r="W42" i="9"/>
  <c r="W43" i="9"/>
  <c r="W44" i="9"/>
  <c r="W64" i="9"/>
  <c r="W65" i="9"/>
  <c r="W66" i="9"/>
  <c r="W71" i="9"/>
  <c r="X83" i="9"/>
  <c r="S31" i="9"/>
  <c r="S42" i="9"/>
  <c r="S43" i="9"/>
  <c r="S44" i="9"/>
  <c r="S50" i="9"/>
  <c r="S51" i="9"/>
  <c r="S52" i="9"/>
  <c r="S55" i="9"/>
  <c r="S56" i="9"/>
  <c r="S61" i="9"/>
  <c r="S62" i="9"/>
  <c r="S63" i="9"/>
  <c r="S64" i="9"/>
  <c r="S65" i="9"/>
  <c r="S66" i="9"/>
  <c r="S71" i="9"/>
  <c r="S83" i="9"/>
  <c r="O31" i="9"/>
  <c r="O55" i="9"/>
  <c r="O61" i="9"/>
  <c r="O42" i="9"/>
  <c r="O43" i="9"/>
  <c r="O44" i="9"/>
  <c r="O50" i="9"/>
  <c r="O51" i="9"/>
  <c r="O52" i="9"/>
  <c r="O56" i="9"/>
  <c r="O62" i="9"/>
  <c r="O64" i="9"/>
  <c r="O65" i="9"/>
  <c r="O66" i="9"/>
  <c r="O71" i="9"/>
  <c r="G84" i="2"/>
  <c r="G17" i="11"/>
  <c r="G28" i="2"/>
  <c r="H24" i="2"/>
  <c r="H25" i="2"/>
  <c r="H26" i="2"/>
  <c r="H27" i="2"/>
  <c r="H28" i="2"/>
  <c r="H29" i="2"/>
  <c r="H30" i="2"/>
  <c r="H31" i="2"/>
  <c r="H32" i="2"/>
  <c r="H33" i="2"/>
  <c r="H34" i="2"/>
  <c r="H36" i="2"/>
  <c r="H37" i="2"/>
  <c r="H39" i="2"/>
  <c r="H40" i="2"/>
  <c r="H43" i="2"/>
  <c r="H44" i="2"/>
  <c r="H45" i="2"/>
  <c r="H46" i="2"/>
  <c r="H47" i="2"/>
  <c r="H48" i="2"/>
  <c r="H49" i="2"/>
  <c r="H50" i="2"/>
  <c r="H51" i="2"/>
  <c r="H52" i="2"/>
  <c r="F54" i="10"/>
  <c r="H78" i="2"/>
  <c r="H79" i="2"/>
  <c r="H80" i="2"/>
  <c r="H81" i="2"/>
  <c r="H82" i="2"/>
  <c r="H83" i="2"/>
  <c r="H84" i="2"/>
  <c r="H137" i="2"/>
  <c r="H139" i="2"/>
  <c r="H140" i="2"/>
  <c r="H141" i="2"/>
  <c r="G131" i="2"/>
  <c r="H131" i="2"/>
  <c r="G132" i="2"/>
  <c r="H132" i="2"/>
  <c r="G133" i="2"/>
  <c r="H133" i="2"/>
  <c r="G85" i="2"/>
  <c r="H14" i="19"/>
  <c r="H164" i="2"/>
  <c r="H165" i="2"/>
  <c r="H166" i="2"/>
  <c r="H167" i="2"/>
  <c r="H168" i="2"/>
  <c r="H169" i="2"/>
  <c r="H16" i="2"/>
  <c r="H17" i="2"/>
  <c r="H18" i="2"/>
  <c r="H19" i="2"/>
  <c r="H20" i="2"/>
  <c r="H21" i="2"/>
  <c r="H22" i="2"/>
  <c r="H56" i="2"/>
  <c r="H61" i="2"/>
  <c r="H62" i="2"/>
  <c r="H63" i="2"/>
  <c r="H64" i="2"/>
  <c r="H65" i="2"/>
  <c r="H66" i="2"/>
  <c r="H70" i="2"/>
  <c r="H71" i="2"/>
  <c r="E142" i="14"/>
  <c r="F142" i="14"/>
  <c r="G142" i="14" s="1"/>
  <c r="C142" i="14"/>
  <c r="D58" i="10"/>
  <c r="H137" i="14"/>
  <c r="H139" i="14"/>
  <c r="H140" i="14"/>
  <c r="H141" i="14"/>
  <c r="H145" i="14"/>
  <c r="H133" i="14"/>
  <c r="F106" i="14"/>
  <c r="E106" i="14"/>
  <c r="H59" i="14"/>
  <c r="K68" i="10"/>
  <c r="T109" i="9"/>
  <c r="R109" i="9"/>
  <c r="P109" i="9"/>
  <c r="L109" i="9"/>
  <c r="J109" i="9"/>
  <c r="H109" i="9"/>
  <c r="F109" i="9"/>
  <c r="N108" i="9"/>
  <c r="N107" i="9"/>
  <c r="N106" i="9"/>
  <c r="N105" i="9"/>
  <c r="N104" i="9"/>
  <c r="N103" i="9"/>
  <c r="N109" i="9" s="1"/>
  <c r="N102" i="9"/>
  <c r="G10" i="3"/>
  <c r="G169" i="2"/>
  <c r="G168" i="2"/>
  <c r="G167" i="2"/>
  <c r="G166" i="2"/>
  <c r="G165" i="2"/>
  <c r="G164" i="2"/>
  <c r="G163" i="2"/>
  <c r="G145" i="2"/>
  <c r="G129" i="2"/>
  <c r="G127" i="2"/>
  <c r="G126" i="2"/>
  <c r="G125" i="2"/>
  <c r="G124" i="2"/>
  <c r="G8" i="2"/>
  <c r="D106" i="14"/>
  <c r="C106" i="14"/>
  <c r="G145" i="14"/>
  <c r="G144" i="14"/>
  <c r="G143" i="14"/>
  <c r="G141" i="14"/>
  <c r="G140" i="14"/>
  <c r="G139" i="14"/>
  <c r="G137" i="14"/>
  <c r="G133" i="14"/>
  <c r="B130" i="14"/>
  <c r="B129" i="14"/>
  <c r="B128" i="14"/>
  <c r="B63" i="14"/>
  <c r="B59" i="14"/>
  <c r="B58" i="14"/>
  <c r="B49" i="14"/>
  <c r="B48" i="14"/>
  <c r="B47" i="14"/>
  <c r="B34" i="14"/>
  <c r="B40" i="14"/>
  <c r="B33" i="14"/>
  <c r="B32" i="14"/>
  <c r="B31" i="14"/>
  <c r="E170" i="2"/>
  <c r="E77" i="14" s="1"/>
  <c r="E70" i="14"/>
  <c r="G70" i="14"/>
  <c r="H70" i="14"/>
  <c r="H163" i="2"/>
  <c r="E9" i="18"/>
  <c r="H71" i="14"/>
  <c r="G80" i="14"/>
  <c r="G83" i="14"/>
  <c r="G97" i="14"/>
  <c r="G99" i="14"/>
  <c r="G103" i="14"/>
  <c r="E33" i="19"/>
  <c r="G33" i="19" s="1"/>
  <c r="H37" i="19"/>
  <c r="G88" i="18"/>
  <c r="F78" i="18"/>
  <c r="F97" i="18" s="1"/>
  <c r="F110" i="14" s="1"/>
  <c r="D8" i="2"/>
  <c r="D9" i="19"/>
  <c r="D81" i="14" s="1"/>
  <c r="D82" i="14"/>
  <c r="J55" i="10"/>
  <c r="J57" i="10"/>
  <c r="H77" i="2"/>
  <c r="G77" i="2"/>
  <c r="H53" i="2"/>
  <c r="O63" i="9"/>
  <c r="AA63" i="9"/>
  <c r="G53" i="2"/>
  <c r="H136" i="2"/>
  <c r="H46" i="18"/>
  <c r="G70" i="18"/>
  <c r="E21" i="11"/>
  <c r="D131" i="14" s="1"/>
  <c r="O83" i="9"/>
  <c r="G156" i="14"/>
  <c r="D107" i="14"/>
  <c r="F107" i="14"/>
  <c r="G107" i="14" s="1"/>
  <c r="AD33" i="9"/>
  <c r="F11" i="3" s="1"/>
  <c r="F116" i="14" s="1"/>
  <c r="D134" i="2"/>
  <c r="D56" i="14" s="1"/>
  <c r="G23" i="2"/>
  <c r="H23" i="2"/>
  <c r="G43" i="18"/>
  <c r="D119" i="14"/>
  <c r="D120" i="14"/>
  <c r="D116" i="14"/>
  <c r="G75" i="18"/>
  <c r="H75" i="18"/>
  <c r="AE57" i="9"/>
  <c r="AF56" i="9"/>
  <c r="AE71" i="9"/>
  <c r="AE69" i="9"/>
  <c r="D99" i="14"/>
  <c r="C68" i="18"/>
  <c r="C76" i="18" s="1"/>
  <c r="C109" i="14" s="1"/>
  <c r="C9" i="18"/>
  <c r="F53" i="18"/>
  <c r="G100" i="18"/>
  <c r="F111" i="14"/>
  <c r="D111" i="14"/>
  <c r="H19" i="18"/>
  <c r="G55" i="18"/>
  <c r="G59" i="18"/>
  <c r="C104" i="14"/>
  <c r="C92" i="14"/>
  <c r="C44" i="14"/>
  <c r="C53" i="14"/>
  <c r="C55" i="14"/>
  <c r="C159" i="2"/>
  <c r="C43" i="14"/>
  <c r="C57" i="14"/>
  <c r="C15" i="2"/>
  <c r="H156" i="2"/>
  <c r="G40" i="14"/>
  <c r="AE67" i="9"/>
  <c r="AF52" i="9"/>
  <c r="AF48" i="9"/>
  <c r="H35" i="14"/>
  <c r="G57" i="14"/>
  <c r="H80" i="14"/>
  <c r="F115" i="14"/>
  <c r="F54" i="14"/>
  <c r="F170" i="2"/>
  <c r="G74" i="14"/>
  <c r="D68" i="18"/>
  <c r="D76" i="18" s="1"/>
  <c r="D109" i="14" s="1"/>
  <c r="G71" i="18"/>
  <c r="AE85" i="9"/>
  <c r="AE42" i="9"/>
  <c r="AE84" i="9"/>
  <c r="AE64" i="9"/>
  <c r="H159" i="14"/>
  <c r="F162" i="14"/>
  <c r="AF43" i="9"/>
  <c r="AE54" i="9"/>
  <c r="AE52" i="9"/>
  <c r="AE50" i="9"/>
  <c r="AE46" i="9"/>
  <c r="AE44" i="9"/>
  <c r="AE40" i="9"/>
  <c r="AE36" i="9"/>
  <c r="D15" i="2"/>
  <c r="D32" i="14" s="1"/>
  <c r="AF53" i="9"/>
  <c r="AE65" i="9"/>
  <c r="AE39" i="9"/>
  <c r="C65" i="14"/>
  <c r="D115" i="14"/>
  <c r="G115" i="14"/>
  <c r="C62" i="14"/>
  <c r="D117" i="14"/>
  <c r="D9" i="3"/>
  <c r="D114" i="14" s="1"/>
  <c r="E19" i="11" s="1"/>
  <c r="F64" i="14"/>
  <c r="D64" i="14"/>
  <c r="C32" i="14" l="1"/>
  <c r="C152" i="2"/>
  <c r="H73" i="18"/>
  <c r="H95" i="2"/>
  <c r="E17" i="11"/>
  <c r="G84" i="18"/>
  <c r="H73" i="14"/>
  <c r="G66" i="18"/>
  <c r="J54" i="10"/>
  <c r="G58" i="10"/>
  <c r="W83" i="9"/>
  <c r="AE22" i="9"/>
  <c r="F31" i="14"/>
  <c r="G31" i="14" s="1"/>
  <c r="G86" i="14"/>
  <c r="E86" i="18"/>
  <c r="G86" i="18" s="1"/>
  <c r="H130" i="14"/>
  <c r="D97" i="18"/>
  <c r="D110" i="14" s="1"/>
  <c r="H134" i="14"/>
  <c r="F68" i="18"/>
  <c r="F76" i="18" s="1"/>
  <c r="F109" i="14" s="1"/>
  <c r="H109" i="14" s="1"/>
  <c r="AF41" i="9"/>
  <c r="G62" i="18"/>
  <c r="H39" i="14"/>
  <c r="J56" i="10"/>
  <c r="G106" i="14"/>
  <c r="G43" i="14"/>
  <c r="G38" i="14"/>
  <c r="G53" i="14"/>
  <c r="AE35" i="9"/>
  <c r="F34" i="18"/>
  <c r="F27" i="18" s="1"/>
  <c r="F60" i="18" s="1"/>
  <c r="L30" i="10"/>
  <c r="F34" i="10"/>
  <c r="E162" i="14" s="1"/>
  <c r="H32" i="10"/>
  <c r="H36" i="10" s="1"/>
  <c r="D164" i="14" s="1"/>
  <c r="H35" i="10"/>
  <c r="AF49" i="9"/>
  <c r="AD55" i="9"/>
  <c r="F12" i="3" s="1"/>
  <c r="G42" i="19"/>
  <c r="G111" i="14"/>
  <c r="H111" i="14"/>
  <c r="F21" i="19"/>
  <c r="G95" i="2"/>
  <c r="G51" i="14"/>
  <c r="H93" i="14"/>
  <c r="AE62" i="9"/>
  <c r="D142" i="14"/>
  <c r="G93" i="18"/>
  <c r="H40" i="18"/>
  <c r="D34" i="18"/>
  <c r="D27" i="18" s="1"/>
  <c r="D60" i="18" s="1"/>
  <c r="G19" i="18"/>
  <c r="AC63" i="9"/>
  <c r="E14" i="3" s="1"/>
  <c r="AE78" i="9"/>
  <c r="AE47" i="9"/>
  <c r="Y92" i="9"/>
  <c r="E125" i="14" s="1"/>
  <c r="G125" i="14" s="1"/>
  <c r="AF76" i="9"/>
  <c r="AF75" i="9"/>
  <c r="W63" i="9"/>
  <c r="W61" i="9"/>
  <c r="AE41" i="9"/>
  <c r="D151" i="2"/>
  <c r="D66" i="14" s="1"/>
  <c r="D34" i="14"/>
  <c r="D152" i="2"/>
  <c r="D67" i="14" s="1"/>
  <c r="AE45" i="9"/>
  <c r="H9" i="19"/>
  <c r="G106" i="2"/>
  <c r="H112" i="2"/>
  <c r="C54" i="2"/>
  <c r="C123" i="2" s="1"/>
  <c r="C143" i="2" s="1"/>
  <c r="C148" i="2" s="1"/>
  <c r="C149" i="2" s="1"/>
  <c r="AF72" i="9"/>
  <c r="E34" i="18"/>
  <c r="G40" i="18"/>
  <c r="E100" i="14"/>
  <c r="G100" i="14" s="1"/>
  <c r="H97" i="14"/>
  <c r="M55" i="10"/>
  <c r="G42" i="14"/>
  <c r="AF74" i="9"/>
  <c r="AF73" i="9"/>
  <c r="AE72" i="9"/>
  <c r="AE68" i="9"/>
  <c r="AE58" i="9"/>
  <c r="AC33" i="9"/>
  <c r="E11" i="3" s="1"/>
  <c r="E116" i="14" s="1"/>
  <c r="H116" i="14" s="1"/>
  <c r="G157" i="14"/>
  <c r="G162" i="14"/>
  <c r="H158" i="14"/>
  <c r="G101" i="14"/>
  <c r="G89" i="14"/>
  <c r="G170" i="2"/>
  <c r="G72" i="14"/>
  <c r="E56" i="14"/>
  <c r="G134" i="2"/>
  <c r="H134" i="2"/>
  <c r="E151" i="2"/>
  <c r="E66" i="14" s="1"/>
  <c r="F151" i="2"/>
  <c r="F66" i="14" s="1"/>
  <c r="E34" i="14"/>
  <c r="G34" i="14" s="1"/>
  <c r="G35" i="14"/>
  <c r="E152" i="2"/>
  <c r="E67" i="14" s="1"/>
  <c r="F152" i="2"/>
  <c r="L25" i="10"/>
  <c r="AF79" i="9"/>
  <c r="AF77" i="9"/>
  <c r="AE76" i="9"/>
  <c r="O33" i="9"/>
  <c r="O92" i="9" s="1"/>
  <c r="W33" i="9"/>
  <c r="AE51" i="9"/>
  <c r="AF50" i="9"/>
  <c r="U92" i="9"/>
  <c r="E124" i="14" s="1"/>
  <c r="H142" i="14"/>
  <c r="AD83" i="9"/>
  <c r="AE83" i="9" s="1"/>
  <c r="AE74" i="9"/>
  <c r="AF78" i="9"/>
  <c r="AA92" i="9"/>
  <c r="AE79" i="9"/>
  <c r="AE77" i="9"/>
  <c r="AE75" i="9"/>
  <c r="AE73" i="9"/>
  <c r="F118" i="14"/>
  <c r="G118" i="14" s="1"/>
  <c r="G13" i="3"/>
  <c r="V92" i="9"/>
  <c r="AF46" i="9"/>
  <c r="Q92" i="9"/>
  <c r="E123" i="14" s="1"/>
  <c r="S33" i="9"/>
  <c r="H53" i="18"/>
  <c r="G53" i="18"/>
  <c r="H82" i="14"/>
  <c r="G81" i="14"/>
  <c r="D53" i="19"/>
  <c r="D104" i="14" s="1"/>
  <c r="D92" i="14"/>
  <c r="G94" i="14"/>
  <c r="E53" i="19"/>
  <c r="E104" i="14" s="1"/>
  <c r="H99" i="14"/>
  <c r="H94" i="14"/>
  <c r="H21" i="19"/>
  <c r="G9" i="19"/>
  <c r="F77" i="14"/>
  <c r="H77" i="14" s="1"/>
  <c r="H55" i="2"/>
  <c r="O54" i="10"/>
  <c r="M57" i="10"/>
  <c r="D54" i="2"/>
  <c r="D31" i="14"/>
  <c r="E20" i="11" s="1"/>
  <c r="M54" i="10"/>
  <c r="J25" i="10"/>
  <c r="L27" i="10"/>
  <c r="E120" i="14"/>
  <c r="X55" i="9"/>
  <c r="AE63" i="9"/>
  <c r="AF63" i="9"/>
  <c r="E119" i="14"/>
  <c r="H119" i="14" s="1"/>
  <c r="G14" i="3"/>
  <c r="E117" i="14"/>
  <c r="G12" i="3"/>
  <c r="H12" i="3"/>
  <c r="AE55" i="9"/>
  <c r="H14" i="3"/>
  <c r="AE61" i="9"/>
  <c r="F117" i="14"/>
  <c r="AF55" i="9"/>
  <c r="AF33" i="9"/>
  <c r="C60" i="18"/>
  <c r="C108" i="14" s="1"/>
  <c r="H106" i="14"/>
  <c r="H9" i="18"/>
  <c r="G9" i="18"/>
  <c r="H100" i="14"/>
  <c r="F53" i="19"/>
  <c r="G21" i="19"/>
  <c r="F92" i="14"/>
  <c r="G92" i="14" s="1"/>
  <c r="G93" i="14"/>
  <c r="H86" i="14"/>
  <c r="H81" i="14"/>
  <c r="G59" i="14"/>
  <c r="E54" i="14"/>
  <c r="G54" i="14" s="1"/>
  <c r="H128" i="2"/>
  <c r="G128" i="2"/>
  <c r="E41" i="14"/>
  <c r="H92" i="2"/>
  <c r="G76" i="14"/>
  <c r="G75" i="14"/>
  <c r="E32" i="14"/>
  <c r="H31" i="14"/>
  <c r="M58" i="10"/>
  <c r="H76" i="14"/>
  <c r="G71" i="14"/>
  <c r="G65" i="14"/>
  <c r="C56" i="14"/>
  <c r="H29" i="10"/>
  <c r="F164" i="14"/>
  <c r="J32" i="10"/>
  <c r="G15" i="2"/>
  <c r="H15" i="2"/>
  <c r="F32" i="14"/>
  <c r="F54" i="2"/>
  <c r="E54" i="2"/>
  <c r="L28" i="10"/>
  <c r="J58" i="10"/>
  <c r="L54" i="10"/>
  <c r="H162" i="14"/>
  <c r="J34" i="10"/>
  <c r="L34" i="10"/>
  <c r="G123" i="14"/>
  <c r="H101" i="14"/>
  <c r="H156" i="14"/>
  <c r="F41" i="14"/>
  <c r="G92" i="2"/>
  <c r="G44" i="14"/>
  <c r="H44" i="14"/>
  <c r="H170" i="2"/>
  <c r="H33" i="19"/>
  <c r="G78" i="18"/>
  <c r="H42" i="19"/>
  <c r="L32" i="10"/>
  <c r="H131" i="14"/>
  <c r="G131" i="14"/>
  <c r="L31" i="10"/>
  <c r="F29" i="10"/>
  <c r="F33" i="10" s="1"/>
  <c r="C31" i="14"/>
  <c r="D20" i="11" s="1"/>
  <c r="C41" i="14"/>
  <c r="D163" i="14" l="1"/>
  <c r="F163" i="14"/>
  <c r="G34" i="18"/>
  <c r="G109" i="14"/>
  <c r="H68" i="18"/>
  <c r="G68" i="18"/>
  <c r="E97" i="18"/>
  <c r="H33" i="10"/>
  <c r="D161" i="14" s="1"/>
  <c r="D160" i="14"/>
  <c r="H76" i="18"/>
  <c r="G76" i="18"/>
  <c r="F108" i="14"/>
  <c r="F98" i="18"/>
  <c r="F101" i="18" s="1"/>
  <c r="W92" i="9"/>
  <c r="G116" i="14"/>
  <c r="H11" i="3"/>
  <c r="AC92" i="9"/>
  <c r="M93" i="9" s="1"/>
  <c r="G11" i="3"/>
  <c r="E9" i="3"/>
  <c r="E114" i="14" s="1"/>
  <c r="AE33" i="9"/>
  <c r="AE92" i="9" s="1"/>
  <c r="E27" i="18"/>
  <c r="H34" i="18"/>
  <c r="H54" i="14"/>
  <c r="H34" i="14"/>
  <c r="E121" i="14"/>
  <c r="H56" i="14"/>
  <c r="G56" i="14"/>
  <c r="G119" i="14"/>
  <c r="X92" i="9"/>
  <c r="F124" i="14"/>
  <c r="F121" i="14" s="1"/>
  <c r="AD92" i="9"/>
  <c r="R93" i="9" s="1"/>
  <c r="F15" i="3"/>
  <c r="AF83" i="9"/>
  <c r="H92" i="14"/>
  <c r="G53" i="19"/>
  <c r="G77" i="14"/>
  <c r="D123" i="2"/>
  <c r="D33" i="14"/>
  <c r="E9" i="11"/>
  <c r="H117" i="14"/>
  <c r="G117" i="14"/>
  <c r="C98" i="18"/>
  <c r="C101" i="18" s="1"/>
  <c r="C112" i="14" s="1"/>
  <c r="C138" i="14" s="1"/>
  <c r="F104" i="14"/>
  <c r="H104" i="14" s="1"/>
  <c r="H53" i="19"/>
  <c r="H151" i="2"/>
  <c r="G151" i="2"/>
  <c r="G152" i="2"/>
  <c r="C67" i="14"/>
  <c r="F160" i="14"/>
  <c r="H32" i="14"/>
  <c r="G32" i="14"/>
  <c r="H152" i="2"/>
  <c r="F67" i="14"/>
  <c r="E33" i="14"/>
  <c r="E127" i="14"/>
  <c r="E123" i="2"/>
  <c r="G9" i="11"/>
  <c r="H54" i="2"/>
  <c r="G54" i="2"/>
  <c r="F123" i="2"/>
  <c r="F33" i="14"/>
  <c r="C66" i="14"/>
  <c r="E163" i="14"/>
  <c r="J35" i="10"/>
  <c r="L35" i="10"/>
  <c r="Q93" i="9"/>
  <c r="E160" i="14"/>
  <c r="J29" i="10"/>
  <c r="L29" i="10"/>
  <c r="H41" i="14"/>
  <c r="G41" i="14"/>
  <c r="D9" i="11"/>
  <c r="C33" i="14"/>
  <c r="D108" i="14"/>
  <c r="D98" i="18"/>
  <c r="D101" i="18" s="1"/>
  <c r="D112" i="14" s="1"/>
  <c r="L36" i="10"/>
  <c r="E164" i="14"/>
  <c r="J36" i="10"/>
  <c r="H66" i="14"/>
  <c r="G66" i="14"/>
  <c r="G97" i="18" l="1"/>
  <c r="E110" i="14"/>
  <c r="F161" i="14"/>
  <c r="G124" i="14"/>
  <c r="Y93" i="9"/>
  <c r="V93" i="9"/>
  <c r="AF92" i="9"/>
  <c r="U93" i="9"/>
  <c r="E60" i="18"/>
  <c r="H27" i="18"/>
  <c r="G27" i="18"/>
  <c r="H121" i="14"/>
  <c r="G104" i="14"/>
  <c r="G121" i="14"/>
  <c r="H124" i="14"/>
  <c r="D138" i="14"/>
  <c r="N93" i="9"/>
  <c r="Z93" i="9"/>
  <c r="F120" i="14"/>
  <c r="H15" i="3"/>
  <c r="F9" i="3"/>
  <c r="G15" i="3"/>
  <c r="D47" i="14"/>
  <c r="D155" i="2"/>
  <c r="D161" i="2" s="1"/>
  <c r="D143" i="2"/>
  <c r="G67" i="14"/>
  <c r="H67" i="14"/>
  <c r="G33" i="14"/>
  <c r="H33" i="14"/>
  <c r="F143" i="2"/>
  <c r="F47" i="14"/>
  <c r="G123" i="2"/>
  <c r="F155" i="2"/>
  <c r="H123" i="2"/>
  <c r="E47" i="14"/>
  <c r="E155" i="2"/>
  <c r="E161" i="2" s="1"/>
  <c r="E48" i="14" s="1"/>
  <c r="E143" i="2"/>
  <c r="G164" i="14"/>
  <c r="H164" i="14"/>
  <c r="C47" i="14"/>
  <c r="C155" i="2"/>
  <c r="C161" i="2" s="1"/>
  <c r="F112" i="14"/>
  <c r="J33" i="10"/>
  <c r="L33" i="10"/>
  <c r="E161" i="14"/>
  <c r="H160" i="14"/>
  <c r="G160" i="14"/>
  <c r="H163" i="14"/>
  <c r="G163" i="14"/>
  <c r="H110" i="14" l="1"/>
  <c r="G110" i="14"/>
  <c r="AC93" i="9"/>
  <c r="E108" i="14"/>
  <c r="G60" i="18"/>
  <c r="H60" i="18"/>
  <c r="E98" i="18"/>
  <c r="AD93" i="9"/>
  <c r="H9" i="3"/>
  <c r="G9" i="3"/>
  <c r="F114" i="14"/>
  <c r="G120" i="14"/>
  <c r="H120" i="14"/>
  <c r="D58" i="14"/>
  <c r="D148" i="2"/>
  <c r="E15" i="11"/>
  <c r="D48" i="14"/>
  <c r="E10" i="11"/>
  <c r="D49" i="14" s="1"/>
  <c r="E58" i="14"/>
  <c r="E148" i="2"/>
  <c r="F161" i="2"/>
  <c r="H155" i="2"/>
  <c r="G155" i="2"/>
  <c r="G47" i="14"/>
  <c r="H47" i="14"/>
  <c r="F58" i="14"/>
  <c r="F148" i="2"/>
  <c r="G143" i="2"/>
  <c r="H143" i="2"/>
  <c r="E49" i="14"/>
  <c r="G161" i="14"/>
  <c r="H161" i="14"/>
  <c r="D10" i="11"/>
  <c r="C49" i="14" s="1"/>
  <c r="D15" i="11"/>
  <c r="C48" i="14"/>
  <c r="C58" i="14"/>
  <c r="E101" i="18" l="1"/>
  <c r="G98" i="18"/>
  <c r="H98" i="18"/>
  <c r="G108" i="14"/>
  <c r="H108" i="14"/>
  <c r="G19" i="11"/>
  <c r="G114" i="14"/>
  <c r="G20" i="11"/>
  <c r="H114" i="14"/>
  <c r="D63" i="14"/>
  <c r="E12" i="11"/>
  <c r="D129" i="14" s="1"/>
  <c r="E11" i="11"/>
  <c r="D128" i="14" s="1"/>
  <c r="E13" i="11"/>
  <c r="D127" i="14" s="1"/>
  <c r="D19" i="19"/>
  <c r="D90" i="14" s="1"/>
  <c r="F63" i="14"/>
  <c r="F19" i="19"/>
  <c r="G13" i="11"/>
  <c r="F127" i="14" s="1"/>
  <c r="G11" i="11"/>
  <c r="F128" i="14" s="1"/>
  <c r="G12" i="11"/>
  <c r="F129" i="14" s="1"/>
  <c r="H148" i="2"/>
  <c r="G148" i="2"/>
  <c r="G15" i="11"/>
  <c r="F48" i="14"/>
  <c r="G10" i="11"/>
  <c r="F49" i="14" s="1"/>
  <c r="G49" i="14" s="1"/>
  <c r="G161" i="2"/>
  <c r="H161" i="2"/>
  <c r="G58" i="14"/>
  <c r="H58" i="14"/>
  <c r="E19" i="19"/>
  <c r="E90" i="14" s="1"/>
  <c r="E149" i="2"/>
  <c r="E63" i="14"/>
  <c r="D12" i="11"/>
  <c r="C129" i="14" s="1"/>
  <c r="D11" i="11"/>
  <c r="C128" i="14" s="1"/>
  <c r="C19" i="19"/>
  <c r="C90" i="14" s="1"/>
  <c r="D13" i="11"/>
  <c r="C127" i="14" s="1"/>
  <c r="C64" i="14"/>
  <c r="C63" i="14"/>
  <c r="E138" i="14" l="1"/>
  <c r="E112" i="14"/>
  <c r="G101" i="18"/>
  <c r="H101" i="18"/>
  <c r="H49" i="14"/>
  <c r="H48" i="14"/>
  <c r="G48" i="14"/>
  <c r="E64" i="14"/>
  <c r="G149" i="2"/>
  <c r="H149" i="2"/>
  <c r="F90" i="14"/>
  <c r="H19" i="19"/>
  <c r="G19" i="19"/>
  <c r="E129" i="14"/>
  <c r="H129" i="14" s="1"/>
  <c r="E128" i="14"/>
  <c r="H127" i="14"/>
  <c r="G127" i="14"/>
  <c r="G63" i="14"/>
  <c r="H63" i="14"/>
  <c r="G112" i="14" l="1"/>
  <c r="H112" i="14"/>
  <c r="G138" i="14"/>
  <c r="H138" i="14"/>
  <c r="G129" i="14"/>
  <c r="H128" i="14"/>
  <c r="G128" i="14"/>
  <c r="H90" i="14"/>
  <c r="G90" i="14"/>
  <c r="H64" i="14"/>
  <c r="G64" i="14"/>
  <c r="D156" i="14"/>
</calcChain>
</file>

<file path=xl/comments1.xml><?xml version="1.0" encoding="utf-8"?>
<comments xmlns="http://schemas.openxmlformats.org/spreadsheetml/2006/main">
  <authors>
    <author>shol</author>
  </authors>
  <commentLis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shol:</t>
        </r>
        <r>
          <rPr>
            <sz val="9"/>
            <color indexed="81"/>
            <rFont val="Tahoma"/>
            <family val="2"/>
            <charset val="204"/>
          </rPr>
          <t xml:space="preserve">
надра 96,5
радиочастоті 642,1
водн.ресурсі 732,7
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04"/>
          </rPr>
          <t>shol:</t>
        </r>
        <r>
          <rPr>
            <sz val="9"/>
            <color indexed="81"/>
            <rFont val="Tahoma"/>
            <family val="2"/>
            <charset val="204"/>
          </rPr>
          <t xml:space="preserve">
ПДФО+ воен.сбор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204"/>
          </rPr>
          <t>shol:</t>
        </r>
        <r>
          <rPr>
            <sz val="9"/>
            <color indexed="81"/>
            <rFont val="Tahoma"/>
            <family val="2"/>
            <charset val="204"/>
          </rPr>
          <t xml:space="preserve">
ПДФО+ воен.сбор</t>
        </r>
      </text>
    </comment>
  </commentList>
</comments>
</file>

<file path=xl/sharedStrings.xml><?xml version="1.0" encoding="utf-8"?>
<sst xmlns="http://schemas.openxmlformats.org/spreadsheetml/2006/main" count="1046" uniqueCount="756">
  <si>
    <t>Рентабельность активів
(чистий фінансовий результат, рядок 1200 / вартість активів, рядок 6020*100, %</t>
  </si>
  <si>
    <t>Рентабельность власного капіталу
(чистий фінансовий результат, рядок 1200 / власний капітал, рядок 6080)*100, %</t>
  </si>
  <si>
    <t>Коефіцієнт відношення боргу до EBITDA
(довгострокові зобов'язання, рядок 6030 + поточні зобов'язання,                                                рядок 6040 / EBITDA, рядок 1310)</t>
  </si>
  <si>
    <t>Коефіцієнт фінансової стійкості
(власний капітал, рядок 6080 / довгострокові зобов'язання, рядок 6030 + поточні зобов'язання, рядок 6040)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</si>
  <si>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</si>
  <si>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/амортизація,  рядок 1430)</t>
  </si>
  <si>
    <t>Коефіцієнт відношення капітальних інвестицій до чистого доходу (виручки) від реалізації продукції (товарів, робіт, послуг)
(капітальні інвестиції, рядок 4000 /чистий дохід від реалізації продукції(товарів,робіт,послуг), рядок 1000)</t>
  </si>
  <si>
    <t>Коефіцієнт зносу основних засобів 
(сума зносу, рядок 6003 / первісна вартість основних засобів) 
рядок 6002</t>
  </si>
  <si>
    <t>Зменшення</t>
  </si>
  <si>
    <r>
      <t>Середня кількість працівників</t>
    </r>
    <r>
      <rPr>
        <sz val="14"/>
        <rFont val="Times New Roman"/>
        <family val="1"/>
        <charset val="204"/>
      </rPr>
      <t xml:space="preserve"> (штатних працівників,зовнішніх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</si>
  <si>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Середньомісячні витрати на оплату праці  одного працівника, грн, усього, у тому числі:</t>
  </si>
  <si>
    <t>Факт відповідного періоду минулого року</t>
  </si>
  <si>
    <t>Фонд оплати праці, тис. гривень, у тому числі:</t>
  </si>
  <si>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</si>
  <si>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</si>
  <si>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</si>
  <si>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</si>
  <si>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</si>
  <si>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</si>
  <si>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</si>
  <si>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</si>
  <si>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</si>
  <si>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</si>
  <si>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</si>
  <si>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</si>
  <si>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</si>
  <si>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</si>
  <si>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</si>
  <si>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</si>
  <si>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</si>
  <si>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</si>
  <si>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</si>
  <si>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</si>
  <si>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</si>
  <si>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</si>
  <si>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</si>
  <si>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</si>
  <si>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</si>
  <si>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</si>
  <si>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</si>
  <si>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</si>
  <si>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</si>
  <si>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</si>
  <si>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</si>
  <si>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</si>
  <si>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</si>
  <si>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</si>
  <si>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</si>
  <si>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</si>
  <si>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</si>
  <si>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</si>
  <si>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</si>
  <si>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</si>
  <si>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</si>
  <si>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</si>
  <si>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</si>
  <si>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</si>
  <si>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</si>
  <si>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</si>
  <si>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</si>
  <si>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</si>
  <si>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№ з/п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</si>
  <si>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</si>
  <si>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</si>
  <si>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</si>
  <si>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</si>
  <si>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</si>
  <si>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</si>
  <si>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</si>
  <si>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</si>
  <si>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</si>
  <si>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</si>
  <si>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</si>
  <si>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</si>
  <si>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</si>
  <si>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</si>
  <si>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</si>
  <si>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</si>
  <si>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</si>
  <si>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</si>
  <si>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</si>
  <si>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</si>
  <si>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</si>
  <si>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</si>
  <si>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</si>
  <si>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</si>
  <si>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</si>
  <si>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</si>
  <si>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</si>
  <si>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</si>
  <si>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</si>
  <si>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</si>
  <si>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</si>
  <si>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</si>
  <si>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 xml:space="preserve">      1. Дані про підприємство, персонал та фонд заробітної плати</t>
  </si>
  <si>
    <t>кредити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</si>
  <si>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</si>
  <si>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</si>
  <si>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</si>
  <si>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Оптимальне значення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</si>
  <si>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</si>
  <si>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</si>
  <si>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</si>
  <si>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</si>
  <si>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</si>
  <si>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</si>
  <si>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</si>
  <si>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</si>
  <si>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</si>
  <si>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</si>
  <si>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</si>
  <si>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</si>
  <si>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</si>
  <si>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</si>
  <si>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</si>
  <si>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</si>
  <si>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</si>
  <si>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</si>
  <si>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</si>
  <si>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</si>
  <si>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</si>
  <si>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</si>
  <si>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</si>
  <si>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</si>
  <si>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</si>
  <si>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</si>
  <si>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</si>
  <si>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</si>
  <si>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</si>
  <si>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</si>
  <si>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</si>
  <si>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</si>
  <si>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</si>
  <si>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</si>
  <si>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</si>
  <si>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</si>
  <si>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</si>
  <si>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</si>
  <si>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</si>
  <si>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Власний капітал</t>
  </si>
  <si>
    <t>Розподіл чистого прибутку</t>
  </si>
  <si>
    <t>ІІІ. Рух грошових коштів</t>
  </si>
  <si>
    <t>Податок на прибуток підприємств</t>
  </si>
  <si>
    <t>IІ. Розрахунки з бюджетом</t>
  </si>
  <si>
    <t>І. Рух коштів у результаті операційної діяльності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</si>
  <si>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</si>
  <si>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</si>
  <si>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</si>
  <si>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</si>
  <si>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</si>
  <si>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</si>
  <si>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</si>
  <si>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</si>
  <si>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</si>
  <si>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</si>
  <si>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</si>
  <si>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</si>
  <si>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</si>
  <si>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</si>
  <si>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</si>
  <si>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</si>
  <si>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</si>
  <si>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</si>
  <si>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</si>
  <si>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Дата початку оренди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</si>
  <si>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</si>
  <si>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</si>
  <si>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</si>
  <si>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 на виплату дивідендів</t>
  </si>
  <si>
    <t>витрати на оренду службових автомобілів</t>
  </si>
  <si>
    <t>№</t>
  </si>
  <si>
    <t>Загальна кошторисна вартість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</si>
  <si>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</si>
  <si>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</si>
  <si>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</si>
  <si>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</si>
  <si>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</si>
  <si>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курсові різниці</t>
  </si>
  <si>
    <t>Інші витрати (розшифрувати), у тому числі:</t>
  </si>
  <si>
    <t>2012/1</t>
  </si>
  <si>
    <t>4010</t>
  </si>
  <si>
    <t>Таблиця 1</t>
  </si>
  <si>
    <t>Таблиця 2</t>
  </si>
  <si>
    <t>Таблиця 3</t>
  </si>
  <si>
    <t>Таблиця 4</t>
  </si>
  <si>
    <t>Таблиця 5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</si>
  <si>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</si>
  <si>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</si>
  <si>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</si>
  <si>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</si>
  <si>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фінансової стійкості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</si>
  <si>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</si>
  <si>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</si>
  <si>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</si>
  <si>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 наростаючим підсумком з початку року</t>
  </si>
  <si>
    <t>Факт</t>
  </si>
  <si>
    <t>Звітний квартал</t>
  </si>
  <si>
    <t>Факт за звітний квартал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</si>
  <si>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</si>
  <si>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</si>
  <si>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</si>
  <si>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</si>
  <si>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</si>
  <si>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</si>
  <si>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</si>
  <si>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</si>
  <si>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</si>
  <si>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</si>
  <si>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</si>
  <si>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</si>
  <si>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</si>
  <si>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</si>
  <si>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</si>
  <si>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</si>
  <si>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</si>
  <si>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</si>
  <si>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</si>
  <si>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</si>
  <si>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 xml:space="preserve">                  (підпис)</t>
  </si>
  <si>
    <t xml:space="preserve">                  (ініціали, прізвище)    </t>
  </si>
  <si>
    <t xml:space="preserve">                                                   (посада)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</si>
  <si>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</si>
  <si>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</si>
  <si>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</si>
  <si>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</si>
  <si>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</si>
  <si>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</si>
  <si>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</si>
  <si>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</si>
  <si>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</si>
  <si>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</si>
  <si>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</si>
  <si>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</si>
  <si>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</si>
  <si>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</si>
  <si>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</si>
  <si>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</si>
  <si>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</si>
  <si>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</si>
  <si>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</si>
  <si>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</si>
  <si>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</si>
  <si>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</si>
  <si>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</si>
  <si>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</si>
  <si>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</si>
  <si>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</si>
  <si>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</si>
  <si>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</si>
  <si>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</si>
  <si>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</si>
  <si>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</si>
  <si>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</si>
  <si>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</si>
  <si>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</si>
  <si>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</si>
  <si>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</si>
  <si>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</si>
  <si>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</si>
  <si>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</si>
  <si>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</si>
  <si>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</si>
  <si>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Факт наростаючим підсумком                 з початку року</t>
  </si>
  <si>
    <t>Примітки</t>
  </si>
  <si>
    <t xml:space="preserve">      Загальна інформація про підприємство (резюме)</t>
  </si>
  <si>
    <t>План звітного періоду</t>
  </si>
  <si>
    <t>Факт звітного періоду</t>
  </si>
  <si>
    <t xml:space="preserve">                   (підпис)</t>
  </si>
  <si>
    <t xml:space="preserve">                                         (посада)</t>
  </si>
  <si>
    <t xml:space="preserve">(ініціали, прізвище)    </t>
  </si>
  <si>
    <t xml:space="preserve">                                           (посада)</t>
  </si>
  <si>
    <t xml:space="preserve">             (ініціали, прізвище)    </t>
  </si>
  <si>
    <t>Одиниця виміру, тис. гривень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</si>
  <si>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</si>
  <si>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</si>
  <si>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</si>
  <si>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</si>
  <si>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</si>
  <si>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</si>
  <si>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</si>
  <si>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</si>
  <si>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</si>
  <si>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</si>
  <si>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</si>
  <si>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</si>
  <si>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</si>
  <si>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</si>
  <si>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</si>
  <si>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</si>
  <si>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</si>
  <si>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електроенергія</t>
  </si>
  <si>
    <t>постачання</t>
  </si>
  <si>
    <t>послуги банківських установ</t>
  </si>
  <si>
    <t>податки</t>
  </si>
  <si>
    <t>інші</t>
  </si>
  <si>
    <t>собівартість реалізованої іноземної валюти</t>
  </si>
  <si>
    <t>собівартість реалізації виробничих запасів</t>
  </si>
  <si>
    <t>витрати на утримання об’єктів соціальної сфери</t>
  </si>
  <si>
    <t>дохід від безоплатно одержаних активів</t>
  </si>
  <si>
    <t>інші доходи звичайної діяльності</t>
  </si>
  <si>
    <t>списання необоротних активів</t>
  </si>
  <si>
    <t>уцінка необоротних активів</t>
  </si>
  <si>
    <t>інші витрати звичайної діяльності</t>
  </si>
  <si>
    <t>одноразові виплати на заходи соціального розвитку</t>
  </si>
  <si>
    <t>Державне підприємство "Херсонський морський торговельний порт"</t>
  </si>
  <si>
    <t>Державне підприємство</t>
  </si>
  <si>
    <t xml:space="preserve"> 01125695</t>
  </si>
  <si>
    <t>52.22</t>
  </si>
  <si>
    <t>Міністерство інфраструктури України</t>
  </si>
  <si>
    <t>Херсонська</t>
  </si>
  <si>
    <t>транспорт</t>
  </si>
  <si>
    <t>допоміжне обслуговування водного транспорту</t>
  </si>
  <si>
    <t>Державна</t>
  </si>
  <si>
    <t>пр.Ушакова,4, м.Херсон, 73000, Україна</t>
  </si>
  <si>
    <t>Вантажо-розвантажувальні роботи</t>
  </si>
  <si>
    <t>Портові збори</t>
  </si>
  <si>
    <t>Послуги флоту портового</t>
  </si>
  <si>
    <t>Інші</t>
  </si>
  <si>
    <t>раціон</t>
  </si>
  <si>
    <t>спецхарчування</t>
  </si>
  <si>
    <t>послуги залізниці</t>
  </si>
  <si>
    <t>послуги з утилізації забруднених вод (підсланевих, фекальних)</t>
  </si>
  <si>
    <t>комунальні послуги, дезінфекція, утилізація сміття, тощо</t>
  </si>
  <si>
    <t>обов’язкове медичне обстеження ( огляд)</t>
  </si>
  <si>
    <t>техогляди, освідчення обладнання</t>
  </si>
  <si>
    <t>портові збори та інші послуги за користування акваторією</t>
  </si>
  <si>
    <t>відрядження</t>
  </si>
  <si>
    <t>підписка на періодичні видання</t>
  </si>
  <si>
    <t>послуги з обов’язкового страхування</t>
  </si>
  <si>
    <t>безлоцманська проводка по проходженню БДЛК ( оформлення документів для плавскладу флоту портового)</t>
  </si>
  <si>
    <t>загальнопортові</t>
  </si>
  <si>
    <t>заходи по усуненню порушення норм і правил пожежної безпеки та техобслуговування вогнегасників</t>
  </si>
  <si>
    <t>технічне обслуговування пожежної сигналізації</t>
  </si>
  <si>
    <t>заходи з охорони праці та системи якості промисловості безпеки та екології</t>
  </si>
  <si>
    <t>заходи по охороні навколишнього середовища</t>
  </si>
  <si>
    <t>послуги зв’зку</t>
  </si>
  <si>
    <t>експертна оцінка</t>
  </si>
  <si>
    <t>використання земснаряду на видобуток піску, податок на надра</t>
  </si>
  <si>
    <t xml:space="preserve">використання техніки, інфраструктури, техобслуговування та інші послуги </t>
  </si>
  <si>
    <t>послуги з оренди приміщень</t>
  </si>
  <si>
    <t>дохід від курсових різниць</t>
  </si>
  <si>
    <t>дохід від реалізації інших оборотних активів</t>
  </si>
  <si>
    <t>дохід від операційної оренди</t>
  </si>
  <si>
    <t>дохід від реалізації іноземної валюти</t>
  </si>
  <si>
    <t>дохід від послуг залізниці</t>
  </si>
  <si>
    <t>дохід від реалізації послуг соціальної сфери</t>
  </si>
  <si>
    <t>відсотки на залишок коштів у банківських установах</t>
  </si>
  <si>
    <t>одержані штрафи, пені, списання кредиторської заборгованості</t>
  </si>
  <si>
    <t>інші доходи операційної діяльності</t>
  </si>
  <si>
    <t xml:space="preserve">визначені штрафи, пені, неустойки </t>
  </si>
  <si>
    <t>нарахування профкому</t>
  </si>
  <si>
    <t>1018/1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</si>
  <si>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</si>
  <si>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</si>
  <si>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</si>
  <si>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</si>
  <si>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</si>
  <si>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</si>
  <si>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</si>
  <si>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</si>
  <si>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</si>
  <si>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</si>
  <si>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</si>
  <si>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</si>
  <si>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</si>
  <si>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</si>
  <si>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</si>
  <si>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</si>
  <si>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</si>
  <si>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1018/19</t>
  </si>
  <si>
    <t>1018/20</t>
  </si>
  <si>
    <t>1018/21</t>
  </si>
  <si>
    <t>1018/22</t>
  </si>
  <si>
    <t>1018/23</t>
  </si>
  <si>
    <t>1018/24</t>
  </si>
  <si>
    <t>1018/25</t>
  </si>
  <si>
    <t>1018/26</t>
  </si>
  <si>
    <t>1018/27</t>
  </si>
  <si>
    <t>1018/28</t>
  </si>
  <si>
    <t>1018/29</t>
  </si>
  <si>
    <t>1018/30</t>
  </si>
  <si>
    <t>Адміністративні витрати по транспортному засобу ( заробітна плата з нарахуваннями  водія, паливо, інші витрати на утримання авто)</t>
  </si>
  <si>
    <t xml:space="preserve">Державне підприємство «Херсонський морський торговельний порт» є одним із найстаріших морських портів України. Заснований у 1778 році, він з самого початку був і залишається містоутворюючим і бюджетонаповнюючим підприємством. </t>
  </si>
  <si>
    <t>Херсонський морський порт  розташований на правому березі ріки Дніпро, в 96 км від Чорного моря.З Чорним морем порт зв'язує підхідний канал, загальною довжиною 68 км, який проходить по річці Дніпро (28км) і в Дніпро-Бузькому лимані (40км).</t>
  </si>
  <si>
    <t>Порт створювався и розвивався як гирловий і має сполучення з усіма видами магістрального транспорту (залізничним, річковим, морським, автомобільним).</t>
  </si>
  <si>
    <t>Порт відкритий для заходу суден всіх прапорів круглий рік, в зимовий час проведення суден здійснюється за допомогою криголамів. Заходження  до  порту  дозволяється суднам довжиною до 200 метрів з осіданням до 7,6 метрів. Разом з тим у порту існує технолог</t>
  </si>
  <si>
    <t>Порт спеціалізується на перевалці мінеральних і хімічних добрив навалом і в тарі,  із збереженням їх в критих, відкритих  складах, майданчиках і плавучих ємкостях. Має спеціалізований комплекс з перевантаження насипних зернових вантажів.</t>
  </si>
  <si>
    <t>Переробка вантажів в порту здійснюється на основі договорів, що укладаються портом з вантажовласниками і експедиторами вантажів.</t>
  </si>
  <si>
    <t xml:space="preserve">1. </t>
  </si>
  <si>
    <t>Капітальне будівництво</t>
  </si>
  <si>
    <t>2.</t>
  </si>
  <si>
    <t>Придбання (виготовлення) основних засобів</t>
  </si>
  <si>
    <t>3.</t>
  </si>
  <si>
    <t>Придбання (виготовлення) інших необоротних матеріальних активів</t>
  </si>
  <si>
    <t>3.1.</t>
  </si>
  <si>
    <t>4.</t>
  </si>
  <si>
    <t>Придбання (створення) нематеріальних активів</t>
  </si>
  <si>
    <t>4.1.</t>
  </si>
  <si>
    <t>5.</t>
  </si>
  <si>
    <t>Модернізація, модифікація (добудова, дообладнання, реконструкція) основних засобів</t>
  </si>
  <si>
    <t>6.</t>
  </si>
  <si>
    <t>Капітальний ремонт</t>
  </si>
  <si>
    <t>2.1</t>
  </si>
  <si>
    <t>2.2</t>
  </si>
  <si>
    <t>2.3</t>
  </si>
  <si>
    <t>2.4</t>
  </si>
  <si>
    <t>2.5</t>
  </si>
  <si>
    <t>2.6</t>
  </si>
  <si>
    <t>2.7</t>
  </si>
  <si>
    <t>2.8</t>
  </si>
  <si>
    <t>5.1</t>
  </si>
  <si>
    <t>5.2</t>
  </si>
  <si>
    <t>5.3</t>
  </si>
  <si>
    <t>5.4</t>
  </si>
  <si>
    <t>(0552) 48-13-48</t>
  </si>
  <si>
    <t>1050/1</t>
  </si>
  <si>
    <t>1051/1</t>
  </si>
  <si>
    <t>1051/2</t>
  </si>
  <si>
    <t>1051/3</t>
  </si>
  <si>
    <t>1051/4</t>
  </si>
  <si>
    <t>1051/5</t>
  </si>
  <si>
    <t>1051/6</t>
  </si>
  <si>
    <t>Навантажувально-розвантажувальні роботи</t>
  </si>
  <si>
    <t>Зберігання вантажів</t>
  </si>
  <si>
    <t>Інші роботи з вантажами</t>
  </si>
  <si>
    <t xml:space="preserve">Робота портового флоту </t>
  </si>
  <si>
    <t>Послуги допоміжних підрозділів</t>
  </si>
  <si>
    <t>Інші ( портові збори та інші збори)</t>
  </si>
  <si>
    <t>нетипові операційні витрати (розшифрувати)</t>
  </si>
  <si>
    <t>нетипові операційні доходи (розшифрувати)</t>
  </si>
  <si>
    <t>1073/1</t>
  </si>
  <si>
    <t>1073/2</t>
  </si>
  <si>
    <t>1073/3</t>
  </si>
  <si>
    <t>1073/4</t>
  </si>
  <si>
    <t>1073/5</t>
  </si>
  <si>
    <t>1073/6</t>
  </si>
  <si>
    <t>1073/7</t>
  </si>
  <si>
    <t>1073/8</t>
  </si>
  <si>
    <t>1073/9</t>
  </si>
  <si>
    <t>інші операційні доходи ( розшифрувати)</t>
  </si>
  <si>
    <t>1073/10</t>
  </si>
  <si>
    <t>Інші операційні доходи усього, у тому числі:</t>
  </si>
  <si>
    <t>відрахування до резерву сумнівних боргів</t>
  </si>
  <si>
    <t>1086/1</t>
  </si>
  <si>
    <t>1086/2</t>
  </si>
  <si>
    <t>1086/3</t>
  </si>
  <si>
    <t>1086/4</t>
  </si>
  <si>
    <t>1086/5</t>
  </si>
  <si>
    <t>1086/6</t>
  </si>
  <si>
    <t>1086/7</t>
  </si>
  <si>
    <t>1086/8</t>
  </si>
  <si>
    <t>1086/9</t>
  </si>
  <si>
    <t>1086/10</t>
  </si>
  <si>
    <t>Інші доходи усього, у тому числі:</t>
  </si>
  <si>
    <t>інші доходи (розшифрувати)</t>
  </si>
  <si>
    <t>1152/1</t>
  </si>
  <si>
    <t>1152/2</t>
  </si>
  <si>
    <t>1152/3</t>
  </si>
  <si>
    <t>1162/1</t>
  </si>
  <si>
    <t>1162/2</t>
  </si>
  <si>
    <t>1162/3</t>
  </si>
  <si>
    <t>1162/4</t>
  </si>
  <si>
    <t>1162/5</t>
  </si>
  <si>
    <t>1162/6</t>
  </si>
  <si>
    <t>Витрати з податку на прибуток</t>
  </si>
  <si>
    <t>Дохід з податку на прибуток</t>
  </si>
  <si>
    <t>Прибуток від припиненої діяльності після оподаткування</t>
  </si>
  <si>
    <t>Збиток від припиненої діяльності після оподаткування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</si>
  <si>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</si>
  <si>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</si>
  <si>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</si>
  <si>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</si>
  <si>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</si>
  <si>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Нараховані до сплати відрахування частини чистого прибутку, усього, у тому числі:</t>
  </si>
  <si>
    <t>Сплата податків, зборів та інших обов’зкових платежів</t>
  </si>
  <si>
    <t>Сплата податків та зборів до Державного бюджету України (податкові платежі), у тому числі:</t>
  </si>
  <si>
    <t>ПДВ, що підлягає сплаті до бюджету за підсумками звітного періоду</t>
  </si>
  <si>
    <t>ПДВ, що підлягає відшкодуванню з  бюджету за підсумками звітного періоду</t>
  </si>
  <si>
    <t>відрахування частини чистого прибутку державними унітарними підприємствами та їх об’єднаннями:</t>
  </si>
  <si>
    <t>рентна плата за користування надрами</t>
  </si>
  <si>
    <t>інші податки та збори ( розшифрувати)</t>
  </si>
  <si>
    <t>2119/1</t>
  </si>
  <si>
    <t>2119/2</t>
  </si>
  <si>
    <t>Сплата податків та зборів до місцевих бюджетів (податкові платежі), усього, у тому числі:</t>
  </si>
  <si>
    <t>орендна плата</t>
  </si>
  <si>
    <t>інші податки та збори (розшифрувати)</t>
  </si>
  <si>
    <t>2124/1</t>
  </si>
  <si>
    <t>2124/2</t>
  </si>
  <si>
    <t>2124/3</t>
  </si>
  <si>
    <t>2124/4</t>
  </si>
  <si>
    <t>Інші податки,збори та платежі на користь держави, усього, у тому числі:</t>
  </si>
  <si>
    <t>відрахування частини чистого прибутку господарськими товариствами, у статутному капіталі яких більше 50% акцій (часток, паїв) належать державі, на виплату дивідендів на державну частку</t>
  </si>
  <si>
    <t>митні платежі</t>
  </si>
  <si>
    <t>єдиний внесок на загальнообов’язкове державне соціальне страхуванння</t>
  </si>
  <si>
    <t>інші податки, збори та платежі ( розшифрувати)</t>
  </si>
  <si>
    <t>2134/1</t>
  </si>
  <si>
    <t>2134/2</t>
  </si>
  <si>
    <t>2134/3</t>
  </si>
  <si>
    <t>інші (штрафи,пені,неустойки) ( розшифрувати)</t>
  </si>
  <si>
    <t>Погашення податкового боргу, усього,  у тому числі:</t>
  </si>
  <si>
    <t>Надходження грошових коштів від операційної діяльності</t>
  </si>
  <si>
    <t>Виручка від реалізації продукції (товарів,робіт,послуг)</t>
  </si>
  <si>
    <t>Повернення податків і зборів, у тому числі:</t>
  </si>
  <si>
    <t>податку на додану вартість</t>
  </si>
  <si>
    <t>Цільове фінансування ( розшифрувати)</t>
  </si>
  <si>
    <t>Надходження авансів від покупців і замовників</t>
  </si>
  <si>
    <t>Отримання коштів за короткостроковими зобов’язаннями, у тому числі:</t>
  </si>
  <si>
    <t>позики</t>
  </si>
  <si>
    <t>Інші надходження (розшифрувати)</t>
  </si>
  <si>
    <t>Видатки грошових коштів від операційної діяльності</t>
  </si>
  <si>
    <t>Розрахунки за продукцію (товари, роботи та послуги)</t>
  </si>
  <si>
    <t xml:space="preserve">Розрахунки з оплати праці </t>
  </si>
  <si>
    <t>Повернення коштів за короткостроковими зобов’язаннями, у тому числі:</t>
  </si>
  <si>
    <t>податок на прибуток підприємств</t>
  </si>
  <si>
    <t>податок на додану вартість</t>
  </si>
  <si>
    <t>рентна плата</t>
  </si>
  <si>
    <t>інші обов’язкові платежі, у тому числі:</t>
  </si>
  <si>
    <t>3146/1</t>
  </si>
  <si>
    <t>відрахування частини чистого прибутку державними підприємствами</t>
  </si>
  <si>
    <t>відрахування частини чистого прибутку до фонду на виплату дивідендів на державну частку господарськими товариствами</t>
  </si>
  <si>
    <t>3146/2</t>
  </si>
  <si>
    <t>Повернення коштів до бюджету</t>
  </si>
  <si>
    <t>Інші витрати ( розшифрувати)</t>
  </si>
  <si>
    <t>Чистий рух коштів від операційної діяльності</t>
  </si>
  <si>
    <t>ІІІ. Рух грошових коштів ( за прямим методом)</t>
  </si>
  <si>
    <t>II. Рух коштів у результаті інвестиційної діяльності</t>
  </si>
  <si>
    <t>Надходження грошових коштів від інвестиційної діяльності</t>
  </si>
  <si>
    <t>Виручка від реалізації фінансових інвестицій</t>
  </si>
  <si>
    <t>Виручка від реалізації необоротних активів</t>
  </si>
  <si>
    <t>Надходження від продажу акцій та облігацій</t>
  </si>
  <si>
    <t>Інші надходження ( розшифрувати)</t>
  </si>
  <si>
    <t>Видатки грошових коштів від інвестиційної діяльності</t>
  </si>
  <si>
    <t>Капітальне будівництво ( розшифрувати)</t>
  </si>
  <si>
    <t>Придбання (створення) нематеріальних активів (розшифрувати)</t>
  </si>
  <si>
    <t>Придбання акцій та облігацій</t>
  </si>
  <si>
    <t>Чистий рух коштів від інвестиційної діяльності</t>
  </si>
  <si>
    <t>III. Рух коштів у результаті фінансової діяльності</t>
  </si>
  <si>
    <t>Надходження грошових коштів від фінансової діяльності</t>
  </si>
  <si>
    <t>Надходження від власного капіталу</t>
  </si>
  <si>
    <t>Отримання коштів за довгостроковими зобов’язаннями, у тому числі:</t>
  </si>
  <si>
    <t>Видатки грошових коштів від фінансової діяльності</t>
  </si>
  <si>
    <t>Витрачання на викуп власних акцій</t>
  </si>
  <si>
    <t>Повернення коштів за довгостроковими зобов’язаннями, у тому числі:</t>
  </si>
  <si>
    <t>Сплата дивідендів</t>
  </si>
  <si>
    <t>Чистий рух коштів від фінансової діяльності</t>
  </si>
  <si>
    <t>Залишок коштів на початок періоду</t>
  </si>
  <si>
    <t>Залишок коштів на кінець періоду</t>
  </si>
  <si>
    <t>капітальний ремонт</t>
  </si>
  <si>
    <t>Валова рентабельність
(валовий прибуток, рядок 1020 / чистий дохід від реалізації продукції (товарів, робіт, послуг)*100, рядок 1000, %)</t>
  </si>
  <si>
    <t>Рентабельність EBITDA
(EBITDA, рядок 1310 / чистий дохід від реалізації продукції (товарів, робіт, послуг)*100, рядок 1000, %)</t>
  </si>
  <si>
    <t>Витрати на оплату праці,тис. гривень, у тому числі:</t>
  </si>
  <si>
    <t>6. Витрати, пов'язані з використанням власних службових автомобілів (у складі адміністративних витрат, рядок 1031)</t>
  </si>
  <si>
    <t>факт відповідного періоду минулого року</t>
  </si>
  <si>
    <t>план звітного періоду</t>
  </si>
  <si>
    <t>факт звітного періоду</t>
  </si>
  <si>
    <t>Відхилення, +- (факт звітного періоду/план звітного періоду)</t>
  </si>
  <si>
    <t>Виконання, % (факт звітного періоду/план звітного періоду)</t>
  </si>
  <si>
    <t>Відхилення,  +/–           ( факт звітного періоду/план звітного періоду)</t>
  </si>
  <si>
    <t>виконання, %         (факт звітного періоду/план звітного періоду)</t>
  </si>
  <si>
    <t>7. Витрати на оренду службових автомобілів (у складі адміністративних витрат, рядок 1032)</t>
  </si>
  <si>
    <t>Незавершене будівництво на початок звітного періоду</t>
  </si>
  <si>
    <t>Звітний період (квартал, рік)</t>
  </si>
  <si>
    <t>витрати, пов’язані з використанням власних службових автомобілів</t>
  </si>
  <si>
    <t>витрати на консальтингові послуги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</si>
  <si>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</si>
  <si>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</si>
  <si>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</si>
  <si>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</si>
  <si>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</si>
  <si>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</si>
  <si>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 доходи</t>
  </si>
  <si>
    <t>Фінансові витрати</t>
  </si>
  <si>
    <t>Інші доходи, усього, у тому числі:</t>
  </si>
  <si>
    <t>Інші витрати, усього, у тому числі:</t>
  </si>
  <si>
    <t xml:space="preserve">Прибуток </t>
  </si>
  <si>
    <t>Збиток</t>
  </si>
  <si>
    <t xml:space="preserve">Інші фонди </t>
  </si>
  <si>
    <t>Інші цілі</t>
  </si>
  <si>
    <t>Сплата податків, зборів та інших обв’язкових платежів</t>
  </si>
  <si>
    <t>Цільове фінансування</t>
  </si>
  <si>
    <t>Капітальні інвестиції, усього, у тому числі:</t>
  </si>
  <si>
    <t>Джерела капітальних інвестицій, усього, у тому числі:</t>
  </si>
  <si>
    <t>залучені кредитні кошти</t>
  </si>
  <si>
    <t>бюджетне фінансування</t>
  </si>
  <si>
    <t>інші джерела</t>
  </si>
  <si>
    <t>4000/1</t>
  </si>
  <si>
    <t>4000/2</t>
  </si>
  <si>
    <t>4000/3</t>
  </si>
  <si>
    <t>4000/4</t>
  </si>
  <si>
    <t>Рентабельність діяльності</t>
  </si>
  <si>
    <t>Рентабельність активів</t>
  </si>
  <si>
    <t>Рентабельність  власного капіталу</t>
  </si>
  <si>
    <t>Коефіцієнт зносу основних засобів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</si>
  <si>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</si>
  <si>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</si>
  <si>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</si>
  <si>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</si>
  <si>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</si>
  <si>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 xml:space="preserve"> Гроші  та їх еквіваленти</t>
  </si>
  <si>
    <t>VII. Кредитна  політика</t>
  </si>
  <si>
    <t>Отримано залучених коштів, усього, у тому числі:</t>
  </si>
  <si>
    <t>довгострокові зобов’язання</t>
  </si>
  <si>
    <t>короткострокові зобов’язання</t>
  </si>
  <si>
    <t>інші фінансові зобов’язання</t>
  </si>
  <si>
    <t>Повернуто залучених коштів,усього, у тому числі:</t>
  </si>
  <si>
    <t>VIII. Дані про персонал та витрати на оплату праці</t>
  </si>
  <si>
    <t>Зобов’язання з податків, зборів та інших обов’язкових платежів, у тому числі:</t>
  </si>
  <si>
    <t>Інші платежі ( розшифрувати)</t>
  </si>
  <si>
    <t xml:space="preserve"> сюрвейєрські послуги</t>
  </si>
  <si>
    <t>екологічний податок</t>
  </si>
  <si>
    <t>3340/1</t>
  </si>
  <si>
    <t>модернізація</t>
  </si>
  <si>
    <t>3280/1</t>
  </si>
  <si>
    <t>3280/2</t>
  </si>
  <si>
    <t>від операційної оренди</t>
  </si>
  <si>
    <t>інші надходження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</si>
  <si>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</si>
  <si>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</si>
  <si>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</si>
  <si>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</si>
  <si>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</si>
  <si>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</si>
  <si>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</si>
  <si>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</si>
  <si>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</si>
  <si>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</si>
  <si>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</si>
  <si>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5.5</t>
  </si>
  <si>
    <t>5.6</t>
  </si>
  <si>
    <t>5.7</t>
  </si>
  <si>
    <t>5.8</t>
  </si>
  <si>
    <t>6.1</t>
  </si>
  <si>
    <t>6.2</t>
  </si>
  <si>
    <t>6.3</t>
  </si>
  <si>
    <t>збір за користування радіочастотним ресурсом України</t>
  </si>
  <si>
    <t>єдиний соціальний внесок на загальнообов’язкове державне соціальне страхування</t>
  </si>
  <si>
    <t>військовий збір</t>
  </si>
  <si>
    <t>розрахунки по авансах</t>
  </si>
  <si>
    <t>комісія банка</t>
  </si>
  <si>
    <t>поворотна безвідсоткова фінансова допомога</t>
  </si>
  <si>
    <t>В.о.директора  ДП "ХМТП"</t>
  </si>
  <si>
    <t>2.20</t>
  </si>
  <si>
    <t>2.21</t>
  </si>
  <si>
    <t>3.2.</t>
  </si>
  <si>
    <t>3.3.</t>
  </si>
  <si>
    <t>3.4.</t>
  </si>
  <si>
    <t>5.9</t>
  </si>
  <si>
    <t>5.10</t>
  </si>
  <si>
    <t>5.11</t>
  </si>
  <si>
    <t>6.4</t>
  </si>
  <si>
    <t>6.5</t>
  </si>
  <si>
    <t>6.6</t>
  </si>
  <si>
    <t>6.7</t>
  </si>
  <si>
    <t>6.8</t>
  </si>
  <si>
    <t>Рентабельность діяльності
(чистий фінансовий результат, рядок 1200 / чистий дохід від реалізації продукції (товарів, робіт, послуг), рядок 1000)*100, %</t>
  </si>
  <si>
    <t>Вольво S 80</t>
  </si>
  <si>
    <t>3380/1</t>
  </si>
  <si>
    <t>оцінка основних засобів, паспортизація будівель, споруд</t>
  </si>
  <si>
    <t>послуги з охорони, забезпечення відеоспостереження, тощо</t>
  </si>
  <si>
    <t>підготовка кадрів</t>
  </si>
  <si>
    <t>5.12</t>
  </si>
  <si>
    <t>5.13</t>
  </si>
  <si>
    <t>5.14</t>
  </si>
  <si>
    <t>5.15</t>
  </si>
  <si>
    <t>5.16</t>
  </si>
  <si>
    <t>Первісна балансова вартість введених потужностей на початок звітного періоду</t>
  </si>
  <si>
    <t xml:space="preserve"> - </t>
  </si>
  <si>
    <t>земельний податок(податок на майно)</t>
  </si>
  <si>
    <t>рентна плата за спеціальне використання води</t>
  </si>
  <si>
    <t>плата за спецпослугу</t>
  </si>
  <si>
    <t>утримання приміщень,комунальні послуги, тощо</t>
  </si>
  <si>
    <t>надходження для виплат соціального страхування</t>
  </si>
  <si>
    <t>надходження забезпечення для участі у конкурсних торгах</t>
  </si>
  <si>
    <t>відсотки, одержані від банківських установ</t>
  </si>
  <si>
    <t>земельний податок</t>
  </si>
  <si>
    <t>податок на нерухоме майно, відмінне від земельної ділянки</t>
  </si>
  <si>
    <t>штрафи та інші санкції</t>
  </si>
  <si>
    <t>перерахування профспілкам</t>
  </si>
  <si>
    <t>розрахунки з підзвітними особами</t>
  </si>
  <si>
    <t>розрахунки з іншими дебіторами</t>
  </si>
  <si>
    <t>інші витрати</t>
  </si>
  <si>
    <t>Придбання (створення) основних засобів (розшифрувати)</t>
  </si>
  <si>
    <t>Грейфер для піску об’ємом 9 куб.м</t>
  </si>
  <si>
    <t>Грейфер зерновий об’ємом 6 куб.м</t>
  </si>
  <si>
    <t>Грейфер для навалювальних вантажів об’ємом 6 куб.м- 2 од</t>
  </si>
  <si>
    <t>Автомашина МАЗ</t>
  </si>
  <si>
    <t>Резервний сервер 1С</t>
  </si>
  <si>
    <t>Мережеве файлове сховище (NAS)</t>
  </si>
  <si>
    <t>Жорсткі диски для NAS</t>
  </si>
  <si>
    <t>Комп’ютерна, вимірювальна та оргтехніка</t>
  </si>
  <si>
    <t>Бульдозер</t>
  </si>
  <si>
    <t>Придбання захисного спецодягу</t>
  </si>
  <si>
    <t>Портальний кран Альбатрос № 10</t>
  </si>
  <si>
    <t>Портальний кран Альбатрос № 7</t>
  </si>
  <si>
    <t>Портальний кран Альбрехт № 18</t>
  </si>
  <si>
    <t>м/б "Днєпр"</t>
  </si>
  <si>
    <t>м/б "Салют"</t>
  </si>
  <si>
    <t>Несамохідний плавкран "Блейхерт" НПК-21</t>
  </si>
  <si>
    <t>Ліхтери типа ДМ №№ 044,037,168,255</t>
  </si>
  <si>
    <t>м/б Комков</t>
  </si>
  <si>
    <t>Проектування та монтаж пожежної сигналізації</t>
  </si>
  <si>
    <t>Капітальний ремонт (будівель і споруд) блоки загородження</t>
  </si>
  <si>
    <t>Капітальний ремонт складських площадок ОСП 1,2</t>
  </si>
  <si>
    <t>Засоби зв’зку</t>
  </si>
  <si>
    <t>Прилади, інструменти</t>
  </si>
  <si>
    <t>Інше</t>
  </si>
  <si>
    <t>Роботи з розробки проектної документації на реконструкцію огородження відкритих складських майданчиків №№ 1-7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</si>
  <si>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</si>
  <si>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Через невиконання запланованих об’ємів вантажопереробки</t>
  </si>
  <si>
    <t>відповідно до тарифів медичних закладів</t>
  </si>
  <si>
    <t xml:space="preserve">аварійно-рятувальні послуги </t>
  </si>
  <si>
    <t>до фінансового плану на 2017 рік</t>
  </si>
  <si>
    <t>збільшення доходів від послуг з закритого зберігання вантажів</t>
  </si>
  <si>
    <t>одержані штрафи, пені, неустойки</t>
  </si>
  <si>
    <t>планувалися у складі чистого доходу</t>
  </si>
  <si>
    <t>Херсонський морський торговельний порт здійснює вантажопереробку всіх видів експортно-імпортних, транзитних і каботажних вантажів. Обробка і обслуговування  суден в порту здійснюється у відповідності із "Збірником звичаїв Херсонського морського торговельного порту"</t>
  </si>
  <si>
    <t>фактичне нарахування відображено у складі інших операційних витрат</t>
  </si>
  <si>
    <t>витрати згідно з колдоговором</t>
  </si>
  <si>
    <t xml:space="preserve"> структурні зміни при нарахуванні  податку на землю (проводиться по структурним підрозділам відповідно до актів землекористування)</t>
  </si>
  <si>
    <t>3.5.</t>
  </si>
  <si>
    <t>Програмна продукція Mikrosoft Windows 10 Professional x 64 Russian (FQC-08909) Pro</t>
  </si>
  <si>
    <t>через невиконання запланованих об’ємів вантажопереробки</t>
  </si>
  <si>
    <t>планувалися у складі інших витрат</t>
  </si>
  <si>
    <t xml:space="preserve"> структурні зміни у відображені  податку на землю, проведено розподіл між структурними підрозділами відповідно до актів землекористування, у складі собівартості відбулося збільшення, зменшення  у складі адміністративних витрат</t>
  </si>
  <si>
    <t>оренда приміщень у ХФ ДП АМПУ</t>
  </si>
  <si>
    <t>на балансі знаходяться 2 житлові будинки</t>
  </si>
  <si>
    <t>Ковшовий автонавантажувач Bobcat  S 450</t>
  </si>
  <si>
    <t>Дизельна електростанція SDMO J33</t>
  </si>
  <si>
    <t>Ковш для зернових вантажів</t>
  </si>
  <si>
    <t>Монтаж кондиціонерів</t>
  </si>
  <si>
    <t>Роботи з проектування монтажу автоматичної пожежної сигналізації у приміщенні складів "Б" та  "В"</t>
  </si>
  <si>
    <t>через невиконання запланованих об’ємів вантажопереробки  запланові показники преміювання не виконані</t>
  </si>
  <si>
    <t>збільшення кількості відряджень керівника підприємства</t>
  </si>
  <si>
    <t>проведення витрат на послуги   ХФ ДП АМПУ починаючи з початку року у 3 кварталі 2017 року, через довготривале заключення договорів</t>
  </si>
  <si>
    <t>затримку з видобутку піску  через тривале  неотримання квот від Херсонської облдержадаміністрації</t>
  </si>
  <si>
    <t>О.А.Сухин</t>
  </si>
  <si>
    <t>за 2017 рік</t>
  </si>
  <si>
    <t>Сухин О.А.</t>
  </si>
  <si>
    <t>нараховано відшкодуваня земельного  податку 1493,3 т. грн, послуги з диспетчерізації-106,7 т. грн</t>
  </si>
  <si>
    <t>реалізація залежалих вантажів -1219,3 т. грн</t>
  </si>
  <si>
    <t>9841,0 т. грн винагороди та премії, що мають разовий характер</t>
  </si>
  <si>
    <t>Монтаж системи  відеоспостереження</t>
  </si>
  <si>
    <t>Через невиконання запланованих об’ємів вантажопереробки ( 64,6%)</t>
  </si>
  <si>
    <t>Зменшення витрат на паливо та електроенергію  на 7980,4 тис. грн. через відсутність перевезень флотом портовим та невиконання запланованих обсягів навантажо-розвантажувальних робіт</t>
  </si>
  <si>
    <t>через зменшення кількості обробленних суден, проведення НРР   через зважування на вагах</t>
  </si>
  <si>
    <t>відсутність перевезень службою флоту</t>
  </si>
  <si>
    <t xml:space="preserve">через закордонне відрядження керівника підприємства </t>
  </si>
  <si>
    <t>відсутність преміювання через невиконання запланованих виробничих показників</t>
  </si>
  <si>
    <t xml:space="preserve"> витрати з оренди приміщень у ХФДП  АМПУ</t>
  </si>
  <si>
    <t>через непроведення запланованого поточного ремонту адмінбудівлі</t>
  </si>
  <si>
    <t>оприбуткування залежалих вантажів 1208,6 т. грн</t>
  </si>
  <si>
    <t>собівартість реалізованих виробн.запасів ( ут.ч. залежалих вантажів -1048,1 т. грн)</t>
  </si>
  <si>
    <t>планувалися та були розпочаті  у 2016 році</t>
  </si>
  <si>
    <t>сплата судових зборів при розгляді позову ДП ХМТП з ПАТ "СК Укррічфлот" щодо стягнення заборгованості за внесення плати за користування причалами 1-7 та причалу КОФ -539,5 тис. Грн</t>
  </si>
  <si>
    <t xml:space="preserve"> рекламні послуги-151,5 т. грн, юр.програма Ліга-56,3 тис.грн,</t>
  </si>
  <si>
    <t>структурні зміни у віднесені об’єктів обліку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</si>
</sst>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dd\.mm\.yyyy;@"/>
    <numFmt numFmtId="177" formatCode="_(* #,##0_);_(* \(#,##0\);_(* &quot;-&quot;??_);_(@_)"/>
    <numFmt numFmtId="178" formatCode="0.0%"/>
    <numFmt numFmtId="179" formatCode="_(* #,##0.0_);_(* \(#,##0.0\);_(* &quot;-&quot;_);_(@_)"/>
    <numFmt numFmtId="180" formatCode="0.00;\(0.00\);\ ;\-"/>
  </numFmts>
  <fonts count="8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Arial Cyr"/>
      <charset val="204"/>
    </font>
    <font>
      <b/>
      <sz val="14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5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7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0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1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5" fontId="69" fillId="22" borderId="12" applyFill="0" applyBorder="0">
      <alignment horizontal="center" vertical="center" wrapText="1"/>
      <protection locked="0"/>
    </xf>
    <xf numFmtId="170" fontId="70" fillId="0" borderId="0">
      <alignment wrapText="1"/>
    </xf>
    <xf numFmtId="170" fontId="37" fillId="0" borderId="0">
      <alignment wrapText="1"/>
    </xf>
  </cellStyleXfs>
  <cellXfs count="539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69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77" fontId="5" fillId="29" borderId="3" xfId="0" applyNumberFormat="1" applyFont="1" applyFill="1" applyBorder="1" applyAlignment="1">
      <alignment horizontal="center" vertical="center" wrapText="1"/>
    </xf>
    <xf numFmtId="169" fontId="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8" fontId="5" fillId="29" borderId="3" xfId="292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8" fontId="5" fillId="29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168" fontId="5" fillId="0" borderId="3" xfId="245" applyNumberFormat="1" applyFont="1" applyFill="1" applyBorder="1" applyAlignment="1">
      <alignment horizontal="center" vertical="center" wrapText="1"/>
    </xf>
    <xf numFmtId="175" fontId="5" fillId="29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4"/>
    </xf>
    <xf numFmtId="0" fontId="5" fillId="0" borderId="14" xfId="0" applyFont="1" applyFill="1" applyBorder="1" applyAlignment="1">
      <alignment horizontal="left" vertical="center" wrapText="1" indent="4"/>
    </xf>
    <xf numFmtId="175" fontId="5" fillId="0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3" xfId="0" quotePrefix="1" applyFont="1" applyFill="1" applyBorder="1" applyAlignment="1">
      <alignment horizontal="center" vertical="center"/>
    </xf>
    <xf numFmtId="168" fontId="7" fillId="29" borderId="3" xfId="0" applyNumberFormat="1" applyFont="1" applyFill="1" applyBorder="1" applyAlignment="1">
      <alignment horizontal="center" vertical="center" wrapText="1"/>
    </xf>
    <xf numFmtId="178" fontId="7" fillId="29" borderId="3" xfId="29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3"/>
    </xf>
    <xf numFmtId="0" fontId="9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0" fontId="7" fillId="29" borderId="3" xfId="0" applyFont="1" applyFill="1" applyBorder="1" applyAlignment="1">
      <alignment horizontal="left" vertical="center" wrapText="1"/>
    </xf>
    <xf numFmtId="0" fontId="7" fillId="29" borderId="3" xfId="0" quotePrefix="1" applyFont="1" applyFill="1" applyBorder="1" applyAlignment="1">
      <alignment horizontal="center" vertical="center"/>
    </xf>
    <xf numFmtId="0" fontId="4" fillId="29" borderId="3" xfId="0" applyFont="1" applyFill="1" applyBorder="1" applyAlignment="1">
      <alignment horizontal="left" vertical="center" wrapText="1"/>
    </xf>
    <xf numFmtId="0" fontId="7" fillId="29" borderId="3" xfId="0" applyFont="1" applyFill="1" applyBorder="1" applyAlignment="1">
      <alignment horizontal="left" vertical="center" wrapText="1" shrinkToFit="1"/>
    </xf>
    <xf numFmtId="168" fontId="5" fillId="0" borderId="3" xfId="0" applyNumberFormat="1" applyFont="1" applyFill="1" applyBorder="1" applyAlignment="1">
      <alignment horizontal="center" vertical="center"/>
    </xf>
    <xf numFmtId="49" fontId="72" fillId="0" borderId="3" xfId="0" quotePrefix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/>
    </xf>
    <xf numFmtId="0" fontId="7" fillId="29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 indent="2"/>
    </xf>
    <xf numFmtId="168" fontId="4" fillId="29" borderId="3" xfId="0" applyNumberFormat="1" applyFont="1" applyFill="1" applyBorder="1" applyAlignment="1">
      <alignment horizontal="center" vertical="center" wrapText="1"/>
    </xf>
    <xf numFmtId="178" fontId="4" fillId="29" borderId="3" xfId="292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left" vertical="center" wrapText="1" indent="2"/>
    </xf>
    <xf numFmtId="0" fontId="7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right" vertical="center" wrapText="1"/>
    </xf>
    <xf numFmtId="0" fontId="4" fillId="0" borderId="3" xfId="245" applyFont="1" applyFill="1" applyBorder="1" applyAlignment="1">
      <alignment vertical="center" wrapText="1"/>
    </xf>
    <xf numFmtId="0" fontId="4" fillId="0" borderId="3" xfId="245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right" vertical="center"/>
    </xf>
    <xf numFmtId="168" fontId="4" fillId="0" borderId="3" xfId="245" applyNumberFormat="1" applyFont="1" applyFill="1" applyBorder="1" applyAlignment="1">
      <alignment horizontal="center" vertical="center" wrapText="1"/>
    </xf>
    <xf numFmtId="169" fontId="4" fillId="0" borderId="0" xfId="0" quotePrefix="1" applyNumberFormat="1" applyFont="1" applyFill="1" applyBorder="1" applyAlignment="1">
      <alignment vertical="center" wrapText="1"/>
    </xf>
    <xf numFmtId="0" fontId="5" fillId="0" borderId="14" xfId="0" quotePrefix="1" applyFont="1" applyFill="1" applyBorder="1" applyAlignment="1">
      <alignment horizontal="center" vertical="center"/>
    </xf>
    <xf numFmtId="168" fontId="5" fillId="0" borderId="3" xfId="245" applyNumberFormat="1" applyFont="1" applyFill="1" applyBorder="1" applyAlignment="1">
      <alignment vertical="center" wrapText="1"/>
    </xf>
    <xf numFmtId="0" fontId="11" fillId="0" borderId="0" xfId="0" applyFont="1" applyFill="1"/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168" fontId="73" fillId="0" borderId="0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175" fontId="4" fillId="0" borderId="3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175" fontId="5" fillId="0" borderId="3" xfId="0" applyNumberFormat="1" applyFont="1" applyFill="1" applyBorder="1" applyAlignment="1">
      <alignment horizontal="center" vertical="center" wrapText="1" readingOrder="1"/>
    </xf>
    <xf numFmtId="175" fontId="7" fillId="29" borderId="3" xfId="0" applyNumberFormat="1" applyFont="1" applyFill="1" applyBorder="1" applyAlignment="1">
      <alignment horizontal="center" vertical="center" wrapText="1"/>
    </xf>
    <xf numFmtId="0" fontId="5" fillId="29" borderId="3" xfId="0" quotePrefix="1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center" vertical="center"/>
    </xf>
    <xf numFmtId="175" fontId="7" fillId="0" borderId="3" xfId="0" applyNumberFormat="1" applyFont="1" applyFill="1" applyBorder="1" applyAlignment="1">
      <alignment horizontal="center" vertical="center" wrapText="1"/>
    </xf>
    <xf numFmtId="175" fontId="5" fillId="0" borderId="3" xfId="245" applyNumberFormat="1" applyFont="1" applyFill="1" applyBorder="1" applyAlignment="1">
      <alignment horizontal="center" vertical="center" wrapText="1"/>
    </xf>
    <xf numFmtId="2" fontId="5" fillId="0" borderId="3" xfId="245" applyNumberFormat="1" applyFont="1" applyFill="1" applyBorder="1" applyAlignment="1">
      <alignment horizontal="left" vertical="center" wrapText="1" indent="4"/>
    </xf>
    <xf numFmtId="0" fontId="5" fillId="0" borderId="3" xfId="245" applyFont="1" applyFill="1" applyBorder="1" applyAlignment="1">
      <alignment horizontal="left" vertical="center" wrapText="1" indent="2"/>
    </xf>
    <xf numFmtId="0" fontId="4" fillId="30" borderId="3" xfId="245" applyFont="1" applyFill="1" applyBorder="1" applyAlignment="1">
      <alignment horizontal="left" vertical="center" wrapText="1"/>
    </xf>
    <xf numFmtId="0" fontId="4" fillId="30" borderId="3" xfId="0" quotePrefix="1" applyFont="1" applyFill="1" applyBorder="1" applyAlignment="1">
      <alignment horizontal="center" vertical="center"/>
    </xf>
    <xf numFmtId="168" fontId="4" fillId="30" borderId="3" xfId="0" applyNumberFormat="1" applyFont="1" applyFill="1" applyBorder="1" applyAlignment="1">
      <alignment horizontal="center" vertical="center" wrapText="1"/>
    </xf>
    <xf numFmtId="0" fontId="4" fillId="30" borderId="3" xfId="0" applyFont="1" applyFill="1" applyBorder="1" applyAlignment="1">
      <alignment horizontal="left" vertical="center" wrapText="1"/>
    </xf>
    <xf numFmtId="0" fontId="4" fillId="30" borderId="3" xfId="0" applyFont="1" applyFill="1" applyBorder="1" applyAlignment="1">
      <alignment horizontal="center" vertical="center"/>
    </xf>
    <xf numFmtId="175" fontId="4" fillId="0" borderId="3" xfId="0" applyNumberFormat="1" applyFont="1" applyFill="1" applyBorder="1" applyAlignment="1">
      <alignment horizontal="left" vertical="center" wrapText="1"/>
    </xf>
    <xf numFmtId="168" fontId="5" fillId="0" borderId="3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 indent="2"/>
      <protection locked="0"/>
    </xf>
    <xf numFmtId="175" fontId="4" fillId="29" borderId="3" xfId="0" applyNumberFormat="1" applyFont="1" applyFill="1" applyBorder="1" applyAlignment="1">
      <alignment horizontal="center" vertical="center" wrapText="1"/>
    </xf>
    <xf numFmtId="175" fontId="4" fillId="30" borderId="3" xfId="0" applyNumberFormat="1" applyFont="1" applyFill="1" applyBorder="1" applyAlignment="1">
      <alignment horizontal="center" vertical="center" wrapText="1"/>
    </xf>
    <xf numFmtId="0" fontId="5" fillId="0" borderId="17" xfId="245" applyFont="1" applyFill="1" applyBorder="1" applyAlignment="1">
      <alignment horizontal="center" vertical="center" wrapText="1"/>
    </xf>
    <xf numFmtId="169" fontId="4" fillId="29" borderId="3" xfId="0" applyNumberFormat="1" applyFont="1" applyFill="1" applyBorder="1" applyAlignment="1">
      <alignment horizontal="center" vertical="center" wrapText="1"/>
    </xf>
    <xf numFmtId="3" fontId="4" fillId="29" borderId="3" xfId="0" applyNumberFormat="1" applyFont="1" applyFill="1" applyBorder="1" applyAlignment="1">
      <alignment horizontal="center" vertical="center" wrapText="1"/>
    </xf>
    <xf numFmtId="177" fontId="4" fillId="29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/>
    </xf>
    <xf numFmtId="168" fontId="75" fillId="0" borderId="3" xfId="0" applyNumberFormat="1" applyFont="1" applyFill="1" applyBorder="1" applyAlignment="1">
      <alignment horizontal="center" vertical="center" wrapText="1"/>
    </xf>
    <xf numFmtId="0" fontId="5" fillId="0" borderId="17" xfId="0" quotePrefix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237" applyNumberFormat="1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center" vertical="center" wrapText="1" shrinkToFit="1"/>
    </xf>
    <xf numFmtId="0" fontId="78" fillId="0" borderId="3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vertical="center"/>
    </xf>
    <xf numFmtId="0" fontId="78" fillId="0" borderId="16" xfId="0" applyFont="1" applyFill="1" applyBorder="1" applyAlignment="1">
      <alignment vertical="center"/>
    </xf>
    <xf numFmtId="0" fontId="78" fillId="0" borderId="3" xfId="0" applyFont="1" applyFill="1" applyBorder="1" applyAlignment="1">
      <alignment horizontal="left" vertical="center"/>
    </xf>
    <xf numFmtId="0" fontId="78" fillId="0" borderId="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vertical="center" wrapText="1"/>
    </xf>
    <xf numFmtId="0" fontId="78" fillId="0" borderId="16" xfId="0" applyFont="1" applyFill="1" applyBorder="1" applyAlignment="1">
      <alignment vertical="center" wrapText="1"/>
    </xf>
    <xf numFmtId="0" fontId="78" fillId="0" borderId="3" xfId="0" applyFont="1" applyFill="1" applyBorder="1" applyAlignment="1">
      <alignment vertical="center"/>
    </xf>
    <xf numFmtId="49" fontId="78" fillId="0" borderId="3" xfId="0" applyNumberFormat="1" applyFont="1" applyFill="1" applyBorder="1" applyAlignment="1">
      <alignment horizontal="center" vertical="center"/>
    </xf>
    <xf numFmtId="0" fontId="78" fillId="0" borderId="3" xfId="0" applyFont="1" applyFill="1" applyBorder="1" applyAlignment="1">
      <alignment vertical="center" wrapText="1"/>
    </xf>
    <xf numFmtId="0" fontId="78" fillId="0" borderId="17" xfId="0" applyFont="1" applyFill="1" applyBorder="1" applyAlignment="1">
      <alignment vertical="center" wrapText="1"/>
    </xf>
    <xf numFmtId="0" fontId="78" fillId="0" borderId="17" xfId="0" applyFont="1" applyFill="1" applyBorder="1" applyAlignment="1">
      <alignment vertical="center"/>
    </xf>
    <xf numFmtId="0" fontId="78" fillId="0" borderId="3" xfId="0" applyNumberFormat="1" applyFont="1" applyFill="1" applyBorder="1" applyAlignment="1">
      <alignment horizontal="center" vertical="center" wrapText="1" shrinkToFit="1"/>
    </xf>
    <xf numFmtId="0" fontId="78" fillId="0" borderId="0" xfId="0" applyFont="1" applyFill="1" applyBorder="1" applyAlignment="1">
      <alignment horizontal="left" vertical="center" wrapText="1" shrinkToFit="1"/>
    </xf>
    <xf numFmtId="168" fontId="81" fillId="0" borderId="0" xfId="0" applyNumberFormat="1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horizontal="left" vertical="center"/>
    </xf>
    <xf numFmtId="0" fontId="78" fillId="0" borderId="3" xfId="237" applyFont="1" applyFill="1" applyBorder="1" applyAlignment="1">
      <alignment horizontal="center" vertical="center"/>
    </xf>
    <xf numFmtId="0" fontId="81" fillId="0" borderId="3" xfId="237" applyFont="1" applyFill="1" applyBorder="1" applyAlignment="1">
      <alignment horizontal="left" vertical="center"/>
    </xf>
    <xf numFmtId="0" fontId="78" fillId="0" borderId="3" xfId="0" applyFont="1" applyFill="1" applyBorder="1" applyAlignment="1">
      <alignment horizontal="left" vertical="center" wrapText="1"/>
    </xf>
    <xf numFmtId="0" fontId="78" fillId="0" borderId="3" xfId="237" applyNumberFormat="1" applyFont="1" applyFill="1" applyBorder="1" applyAlignment="1">
      <alignment horizontal="center" vertical="center" wrapText="1"/>
    </xf>
    <xf numFmtId="168" fontId="78" fillId="0" borderId="3" xfId="237" applyNumberFormat="1" applyFont="1" applyFill="1" applyBorder="1" applyAlignment="1">
      <alignment horizontal="center" vertical="center" wrapText="1"/>
    </xf>
    <xf numFmtId="0" fontId="78" fillId="0" borderId="3" xfId="237" applyNumberFormat="1" applyFont="1" applyFill="1" applyBorder="1" applyAlignment="1">
      <alignment horizontal="left" vertical="center" wrapText="1"/>
    </xf>
    <xf numFmtId="0" fontId="78" fillId="0" borderId="3" xfId="237" applyNumberFormat="1" applyFont="1" applyFill="1" applyBorder="1" applyAlignment="1">
      <alignment horizontal="left" vertical="top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3" xfId="0" quotePrefix="1" applyNumberFormat="1" applyFont="1" applyFill="1" applyBorder="1" applyAlignment="1">
      <alignment horizontal="center" vertical="center"/>
    </xf>
    <xf numFmtId="168" fontId="81" fillId="29" borderId="3" xfId="0" applyNumberFormat="1" applyFont="1" applyFill="1" applyBorder="1" applyAlignment="1">
      <alignment horizontal="center" vertical="center" wrapText="1"/>
    </xf>
    <xf numFmtId="178" fontId="81" fillId="29" borderId="3" xfId="292" applyNumberFormat="1" applyFont="1" applyFill="1" applyBorder="1" applyAlignment="1">
      <alignment horizontal="center" vertical="center" wrapText="1"/>
    </xf>
    <xf numFmtId="0" fontId="78" fillId="0" borderId="3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78" fillId="0" borderId="19" xfId="0" applyFont="1" applyFill="1" applyBorder="1" applyAlignment="1">
      <alignment vertical="center" wrapText="1"/>
    </xf>
    <xf numFmtId="0" fontId="78" fillId="0" borderId="15" xfId="0" applyFont="1" applyFill="1" applyBorder="1" applyAlignment="1">
      <alignment vertical="center" wrapText="1"/>
    </xf>
    <xf numFmtId="0" fontId="81" fillId="0" borderId="15" xfId="237" applyFont="1" applyFill="1" applyBorder="1" applyAlignment="1">
      <alignment horizontal="left" vertical="center"/>
    </xf>
    <xf numFmtId="0" fontId="78" fillId="0" borderId="15" xfId="237" applyFont="1" applyFill="1" applyBorder="1" applyAlignment="1">
      <alignment horizontal="center" vertical="center" wrapText="1"/>
    </xf>
    <xf numFmtId="168" fontId="78" fillId="0" borderId="15" xfId="237" applyNumberFormat="1" applyFont="1" applyFill="1" applyBorder="1" applyAlignment="1">
      <alignment horizontal="center" vertical="center" wrapText="1"/>
    </xf>
    <xf numFmtId="0" fontId="78" fillId="0" borderId="15" xfId="237" applyNumberFormat="1" applyFont="1" applyFill="1" applyBorder="1" applyAlignment="1">
      <alignment horizontal="left" vertical="center" wrapText="1"/>
    </xf>
    <xf numFmtId="0" fontId="78" fillId="0" borderId="15" xfId="0" applyFont="1" applyFill="1" applyBorder="1" applyAlignment="1">
      <alignment horizontal="left" vertical="center" wrapText="1"/>
    </xf>
    <xf numFmtId="0" fontId="78" fillId="0" borderId="15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 wrapText="1" shrinkToFit="1"/>
    </xf>
    <xf numFmtId="0" fontId="5" fillId="0" borderId="18" xfId="237" applyNumberFormat="1" applyFont="1" applyFill="1" applyBorder="1" applyAlignment="1">
      <alignment horizontal="left" vertical="center" wrapText="1"/>
    </xf>
    <xf numFmtId="168" fontId="5" fillId="0" borderId="18" xfId="237" applyNumberFormat="1" applyFont="1" applyFill="1" applyBorder="1" applyAlignment="1">
      <alignment horizontal="center" vertical="center" wrapText="1"/>
    </xf>
    <xf numFmtId="0" fontId="5" fillId="0" borderId="18" xfId="245" applyFont="1" applyFill="1" applyBorder="1" applyAlignment="1">
      <alignment horizontal="left" vertical="center" wrapText="1"/>
    </xf>
    <xf numFmtId="168" fontId="5" fillId="0" borderId="18" xfId="0" applyNumberFormat="1" applyFont="1" applyFill="1" applyBorder="1" applyAlignment="1">
      <alignment horizontal="center" vertical="center" wrapText="1"/>
    </xf>
    <xf numFmtId="178" fontId="5" fillId="29" borderId="18" xfId="292" applyNumberFormat="1" applyFont="1" applyFill="1" applyBorder="1" applyAlignment="1">
      <alignment horizontal="center" vertical="center" wrapText="1"/>
    </xf>
    <xf numFmtId="168" fontId="5" fillId="29" borderId="18" xfId="245" applyNumberFormat="1" applyFont="1" applyFill="1" applyBorder="1" applyAlignment="1">
      <alignment horizontal="center" vertical="center" wrapText="1"/>
    </xf>
    <xf numFmtId="175" fontId="5" fillId="29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 indent="2"/>
    </xf>
    <xf numFmtId="175" fontId="5" fillId="0" borderId="18" xfId="0" applyNumberFormat="1" applyFont="1" applyFill="1" applyBorder="1" applyAlignment="1">
      <alignment horizontal="center" vertical="center" wrapText="1"/>
    </xf>
    <xf numFmtId="168" fontId="5" fillId="29" borderId="18" xfId="0" applyNumberFormat="1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vertical="center"/>
    </xf>
    <xf numFmtId="0" fontId="78" fillId="0" borderId="22" xfId="0" applyFont="1" applyFill="1" applyBorder="1" applyAlignment="1">
      <alignment vertical="center"/>
    </xf>
    <xf numFmtId="0" fontId="78" fillId="0" borderId="21" xfId="0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horizontal="center" vertical="center" wrapText="1"/>
    </xf>
    <xf numFmtId="0" fontId="81" fillId="0" borderId="13" xfId="0" quotePrefix="1" applyFont="1" applyFill="1" applyBorder="1" applyAlignment="1">
      <alignment horizontal="center" vertical="center"/>
    </xf>
    <xf numFmtId="169" fontId="81" fillId="0" borderId="13" xfId="0" quotePrefix="1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 indent="2"/>
    </xf>
    <xf numFmtId="168" fontId="5" fillId="0" borderId="15" xfId="0" applyNumberFormat="1" applyFont="1" applyFill="1" applyBorder="1" applyAlignment="1">
      <alignment horizontal="center" vertical="center" wrapText="1"/>
    </xf>
    <xf numFmtId="168" fontId="7" fillId="29" borderId="15" xfId="0" applyNumberFormat="1" applyFont="1" applyFill="1" applyBorder="1" applyAlignment="1">
      <alignment horizontal="center" vertical="center" wrapText="1"/>
    </xf>
    <xf numFmtId="178" fontId="7" fillId="29" borderId="15" xfId="292" applyNumberFormat="1" applyFont="1" applyFill="1" applyBorder="1" applyAlignment="1">
      <alignment horizontal="center" vertical="center" wrapText="1"/>
    </xf>
    <xf numFmtId="0" fontId="5" fillId="0" borderId="15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175" fontId="5" fillId="29" borderId="15" xfId="0" applyNumberFormat="1" applyFont="1" applyFill="1" applyBorder="1" applyAlignment="1">
      <alignment horizontal="center" vertical="center" wrapText="1"/>
    </xf>
    <xf numFmtId="178" fontId="5" fillId="29" borderId="15" xfId="292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178" fontId="5" fillId="0" borderId="3" xfId="292" applyNumberFormat="1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left" vertical="center" wrapText="1" indent="3"/>
    </xf>
    <xf numFmtId="168" fontId="4" fillId="29" borderId="3" xfId="292" applyNumberFormat="1" applyFont="1" applyFill="1" applyBorder="1" applyAlignment="1">
      <alignment horizontal="center" vertical="center" wrapText="1"/>
    </xf>
    <xf numFmtId="168" fontId="5" fillId="29" borderId="3" xfId="292" applyNumberFormat="1" applyFont="1" applyFill="1" applyBorder="1" applyAlignment="1">
      <alignment horizontal="center" vertical="center" wrapText="1"/>
    </xf>
    <xf numFmtId="168" fontId="5" fillId="29" borderId="15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68" fontId="4" fillId="29" borderId="3" xfId="0" applyNumberFormat="1" applyFont="1" applyFill="1" applyBorder="1" applyAlignment="1">
      <alignment horizontal="center" vertical="center" wrapText="1"/>
    </xf>
    <xf numFmtId="168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75" fontId="5" fillId="31" borderId="3" xfId="0" applyNumberFormat="1" applyFont="1" applyFill="1" applyBorder="1" applyAlignment="1">
      <alignment horizontal="center" vertical="center" wrapText="1"/>
    </xf>
    <xf numFmtId="175" fontId="5" fillId="31" borderId="3" xfId="245" applyNumberFormat="1" applyFont="1" applyFill="1" applyBorder="1" applyAlignment="1">
      <alignment horizontal="center" vertical="center" wrapText="1"/>
    </xf>
    <xf numFmtId="175" fontId="5" fillId="31" borderId="15" xfId="0" applyNumberFormat="1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168" fontId="4" fillId="31" borderId="3" xfId="0" applyNumberFormat="1" applyFont="1" applyFill="1" applyBorder="1" applyAlignment="1">
      <alignment horizontal="center" vertical="center"/>
    </xf>
    <xf numFmtId="168" fontId="5" fillId="31" borderId="3" xfId="0" applyNumberFormat="1" applyFont="1" applyFill="1" applyBorder="1" applyAlignment="1">
      <alignment horizontal="center" vertical="center"/>
    </xf>
    <xf numFmtId="0" fontId="5" fillId="31" borderId="16" xfId="0" applyFont="1" applyFill="1" applyBorder="1" applyAlignment="1">
      <alignment horizontal="center" vertical="center" wrapText="1"/>
    </xf>
    <xf numFmtId="168" fontId="4" fillId="31" borderId="16" xfId="0" applyNumberFormat="1" applyFont="1" applyFill="1" applyBorder="1" applyAlignment="1">
      <alignment horizontal="center" vertical="center"/>
    </xf>
    <xf numFmtId="168" fontId="4" fillId="31" borderId="16" xfId="0" applyNumberFormat="1" applyFont="1" applyFill="1" applyBorder="1" applyAlignment="1">
      <alignment horizontal="center" vertical="center" wrapText="1"/>
    </xf>
    <xf numFmtId="168" fontId="5" fillId="31" borderId="16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8" fontId="4" fillId="29" borderId="3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vertical="center"/>
    </xf>
    <xf numFmtId="169" fontId="5" fillId="0" borderId="3" xfId="0" applyNumberFormat="1" applyFont="1" applyFill="1" applyBorder="1" applyAlignment="1">
      <alignment horizontal="center" vertical="center" wrapText="1"/>
    </xf>
    <xf numFmtId="49" fontId="11" fillId="31" borderId="3" xfId="0" applyNumberFormat="1" applyFont="1" applyFill="1" applyBorder="1" applyAlignment="1">
      <alignment horizontal="left" vertical="center" wrapText="1"/>
    </xf>
    <xf numFmtId="49" fontId="11" fillId="31" borderId="3" xfId="0" quotePrefix="1" applyNumberFormat="1" applyFont="1" applyFill="1" applyBorder="1" applyAlignment="1">
      <alignment horizontal="left" vertical="center" wrapText="1"/>
    </xf>
    <xf numFmtId="49" fontId="11" fillId="31" borderId="16" xfId="0" quotePrefix="1" applyNumberFormat="1" applyFont="1" applyFill="1" applyBorder="1" applyAlignment="1">
      <alignment horizontal="left" vertical="center" wrapText="1"/>
    </xf>
    <xf numFmtId="49" fontId="11" fillId="31" borderId="16" xfId="0" applyNumberFormat="1" applyFont="1" applyFill="1" applyBorder="1" applyAlignment="1">
      <alignment horizontal="left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0" fontId="11" fillId="31" borderId="15" xfId="0" applyFont="1" applyFill="1" applyBorder="1" applyAlignment="1">
      <alignment vertical="center" wrapText="1"/>
    </xf>
    <xf numFmtId="0" fontId="11" fillId="31" borderId="1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168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16" fillId="0" borderId="0" xfId="245" applyFont="1" applyFill="1" applyBorder="1"/>
    <xf numFmtId="175" fontId="5" fillId="0" borderId="0" xfId="245" applyNumberFormat="1" applyFont="1" applyFill="1" applyBorder="1" applyAlignment="1">
      <alignment horizontal="center" vertical="center" wrapText="1"/>
    </xf>
    <xf numFmtId="175" fontId="4" fillId="29" borderId="17" xfId="0" applyNumberFormat="1" applyFont="1" applyFill="1" applyBorder="1" applyAlignment="1">
      <alignment horizontal="center" vertical="center" wrapText="1"/>
    </xf>
    <xf numFmtId="175" fontId="5" fillId="29" borderId="17" xfId="0" applyNumberFormat="1" applyFont="1" applyFill="1" applyBorder="1" applyAlignment="1">
      <alignment horizontal="center" vertical="center" wrapText="1"/>
    </xf>
    <xf numFmtId="175" fontId="5" fillId="29" borderId="25" xfId="0" applyNumberFormat="1" applyFont="1" applyFill="1" applyBorder="1" applyAlignment="1">
      <alignment horizontal="center" vertical="center" wrapText="1"/>
    </xf>
    <xf numFmtId="175" fontId="5" fillId="29" borderId="13" xfId="0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8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78" fillId="31" borderId="17" xfId="0" applyFont="1" applyFill="1" applyBorder="1" applyAlignment="1">
      <alignment horizontal="left" vertical="center" wrapText="1"/>
    </xf>
    <xf numFmtId="0" fontId="78" fillId="0" borderId="25" xfId="0" applyFont="1" applyFill="1" applyBorder="1" applyAlignment="1">
      <alignment horizontal="left" vertical="center" wrapText="1"/>
    </xf>
    <xf numFmtId="0" fontId="80" fillId="0" borderId="24" xfId="0" applyFont="1" applyBorder="1" applyAlignment="1">
      <alignment horizontal="left" vertical="center" wrapText="1"/>
    </xf>
    <xf numFmtId="0" fontId="78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9" fontId="4" fillId="0" borderId="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3" xfId="23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78" fillId="0" borderId="3" xfId="0" applyFont="1" applyFill="1" applyBorder="1" applyAlignment="1">
      <alignment horizontal="center" vertical="center" wrapText="1" shrinkToFit="1"/>
    </xf>
    <xf numFmtId="0" fontId="81" fillId="29" borderId="3" xfId="245" applyFont="1" applyFill="1" applyBorder="1" applyAlignment="1">
      <alignment horizontal="left" vertical="center" wrapText="1"/>
    </xf>
    <xf numFmtId="0" fontId="4" fillId="29" borderId="14" xfId="0" applyFont="1" applyFill="1" applyBorder="1" applyAlignment="1">
      <alignment horizontal="left" vertical="center" wrapText="1"/>
    </xf>
    <xf numFmtId="0" fontId="4" fillId="29" borderId="17" xfId="0" applyFont="1" applyFill="1" applyBorder="1" applyAlignment="1">
      <alignment horizontal="left" vertical="center" wrapText="1"/>
    </xf>
    <xf numFmtId="0" fontId="4" fillId="29" borderId="16" xfId="0" applyFont="1" applyFill="1" applyBorder="1" applyAlignment="1">
      <alignment horizontal="left" vertical="center" wrapText="1"/>
    </xf>
    <xf numFmtId="0" fontId="78" fillId="0" borderId="15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8" fillId="0" borderId="3" xfId="245" applyFont="1" applyFill="1" applyBorder="1" applyAlignment="1">
      <alignment horizontal="center" vertical="center"/>
    </xf>
    <xf numFmtId="169" fontId="81" fillId="0" borderId="13" xfId="0" applyNumberFormat="1" applyFont="1" applyFill="1" applyBorder="1" applyAlignment="1">
      <alignment horizontal="left" vertical="center" wrapText="1"/>
    </xf>
    <xf numFmtId="0" fontId="81" fillId="0" borderId="13" xfId="0" applyFont="1" applyFill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0" fontId="78" fillId="0" borderId="18" xfId="237" applyNumberFormat="1" applyFont="1" applyFill="1" applyBorder="1" applyAlignment="1">
      <alignment horizontal="center" vertical="center" wrapText="1"/>
    </xf>
    <xf numFmtId="168" fontId="5" fillId="0" borderId="0" xfId="292" applyNumberFormat="1" applyFont="1" applyFill="1" applyBorder="1" applyAlignment="1">
      <alignment horizontal="center" vertical="center" wrapText="1"/>
    </xf>
    <xf numFmtId="168" fontId="5" fillId="29" borderId="3" xfId="0" applyNumberFormat="1" applyFont="1" applyFill="1" applyBorder="1" applyAlignment="1">
      <alignment horizontal="center" vertical="center" wrapText="1"/>
    </xf>
    <xf numFmtId="168" fontId="4" fillId="31" borderId="3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168" fontId="5" fillId="31" borderId="3" xfId="0" applyNumberFormat="1" applyFont="1" applyFill="1" applyBorder="1" applyAlignment="1">
      <alignment horizontal="center" vertical="center" wrapText="1"/>
    </xf>
    <xf numFmtId="168" fontId="4" fillId="29" borderId="3" xfId="0" applyNumberFormat="1" applyFont="1" applyFill="1" applyBorder="1" applyAlignment="1">
      <alignment horizontal="center" vertical="center" wrapText="1"/>
    </xf>
    <xf numFmtId="168" fontId="4" fillId="29" borderId="14" xfId="0" applyNumberFormat="1" applyFont="1" applyFill="1" applyBorder="1" applyAlignment="1">
      <alignment horizontal="center" vertical="center" wrapText="1"/>
    </xf>
    <xf numFmtId="168" fontId="5" fillId="29" borderId="1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3"/>
    </xf>
    <xf numFmtId="168" fontId="4" fillId="0" borderId="14" xfId="0" applyNumberFormat="1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7" fontId="5" fillId="31" borderId="14" xfId="0" applyNumberFormat="1" applyFont="1" applyFill="1" applyBorder="1" applyAlignment="1">
      <alignment horizontal="center" vertical="center" wrapText="1"/>
    </xf>
    <xf numFmtId="177" fontId="5" fillId="31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169" fontId="5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14" xfId="285" applyNumberFormat="1" applyFont="1" applyFill="1" applyBorder="1" applyAlignment="1">
      <alignment horizontal="left" vertical="center" wrapText="1"/>
    </xf>
    <xf numFmtId="0" fontId="9" fillId="0" borderId="17" xfId="285" applyNumberFormat="1" applyFont="1" applyFill="1" applyBorder="1" applyAlignment="1">
      <alignment horizontal="left" vertical="center" wrapText="1"/>
    </xf>
    <xf numFmtId="0" fontId="9" fillId="0" borderId="16" xfId="285" applyNumberFormat="1" applyFont="1" applyFill="1" applyBorder="1" applyAlignment="1">
      <alignment horizontal="left" vertical="center" wrapText="1"/>
    </xf>
    <xf numFmtId="0" fontId="10" fillId="0" borderId="14" xfId="285" applyNumberFormat="1" applyFont="1" applyFill="1" applyBorder="1" applyAlignment="1">
      <alignment horizontal="left" vertical="center" wrapText="1"/>
    </xf>
    <xf numFmtId="0" fontId="10" fillId="0" borderId="17" xfId="285" applyNumberFormat="1" applyFont="1" applyFill="1" applyBorder="1" applyAlignment="1">
      <alignment horizontal="left" vertical="center" wrapText="1"/>
    </xf>
    <xf numFmtId="0" fontId="10" fillId="0" borderId="16" xfId="285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177" fontId="5" fillId="0" borderId="3" xfId="0" applyNumberFormat="1" applyFont="1" applyFill="1" applyBorder="1" applyAlignment="1">
      <alignment horizontal="center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175" fontId="5" fillId="0" borderId="16" xfId="0" applyNumberFormat="1" applyFont="1" applyFill="1" applyBorder="1" applyAlignment="1">
      <alignment horizontal="center" vertical="center" wrapText="1"/>
    </xf>
    <xf numFmtId="168" fontId="5" fillId="29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169" fontId="11" fillId="29" borderId="14" xfId="0" applyNumberFormat="1" applyFont="1" applyFill="1" applyBorder="1" applyAlignment="1">
      <alignment horizontal="center" vertical="center" wrapText="1"/>
    </xf>
    <xf numFmtId="169" fontId="11" fillId="29" borderId="16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78" fillId="0" borderId="18" xfId="0" applyFont="1" applyFill="1" applyBorder="1" applyAlignment="1">
      <alignment horizontal="center" vertical="center" wrapText="1" shrinkToFit="1"/>
    </xf>
    <xf numFmtId="0" fontId="78" fillId="0" borderId="14" xfId="0" applyFont="1" applyFill="1" applyBorder="1" applyAlignment="1">
      <alignment horizontal="center" vertical="center" wrapText="1" shrinkToFit="1"/>
    </xf>
    <xf numFmtId="0" fontId="78" fillId="0" borderId="16" xfId="0" applyFont="1" applyFill="1" applyBorder="1" applyAlignment="1">
      <alignment horizontal="center" vertical="center" wrapText="1" shrinkToFit="1"/>
    </xf>
    <xf numFmtId="0" fontId="78" fillId="0" borderId="2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4" xfId="0" applyNumberFormat="1" applyFont="1" applyFill="1" applyBorder="1" applyAlignment="1">
      <alignment horizontal="center" vertical="center" wrapText="1" shrinkToFit="1"/>
    </xf>
    <xf numFmtId="0" fontId="78" fillId="0" borderId="16" xfId="0" applyNumberFormat="1" applyFont="1" applyFill="1" applyBorder="1" applyAlignment="1">
      <alignment horizontal="center" vertical="center" wrapText="1" shrinkToFit="1"/>
    </xf>
    <xf numFmtId="0" fontId="78" fillId="0" borderId="14" xfId="0" applyNumberFormat="1" applyFont="1" applyFill="1" applyBorder="1" applyAlignment="1">
      <alignment horizontal="center" vertical="center" wrapText="1"/>
    </xf>
    <xf numFmtId="0" fontId="78" fillId="0" borderId="1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78" fillId="0" borderId="23" xfId="0" applyFont="1" applyFill="1" applyBorder="1" applyAlignment="1">
      <alignment horizontal="center" vertical="center" wrapText="1" shrinkToFit="1"/>
    </xf>
    <xf numFmtId="0" fontId="78" fillId="0" borderId="20" xfId="0" applyFont="1" applyFill="1" applyBorder="1" applyAlignment="1">
      <alignment horizontal="center" vertical="center" wrapText="1" shrinkToFi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168" fontId="5" fillId="32" borderId="3" xfId="0" applyNumberFormat="1" applyFont="1" applyFill="1" applyBorder="1" applyAlignment="1">
      <alignment horizontal="center" vertical="center" wrapText="1"/>
    </xf>
    <xf numFmtId="0" fontId="7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left" vertical="center" wrapText="1" shrinkToFit="1"/>
    </xf>
    <xf numFmtId="0" fontId="78" fillId="0" borderId="17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78" fillId="0" borderId="15" xfId="0" applyFont="1" applyFill="1" applyBorder="1" applyAlignment="1">
      <alignment horizontal="center" vertical="center" wrapText="1" shrinkToFit="1"/>
    </xf>
    <xf numFmtId="0" fontId="78" fillId="0" borderId="26" xfId="0" applyFont="1" applyFill="1" applyBorder="1" applyAlignment="1">
      <alignment horizontal="center" vertical="center" wrapText="1" shrinkToFi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center" vertical="center" wrapText="1" shrinkToFit="1"/>
    </xf>
    <xf numFmtId="3" fontId="11" fillId="0" borderId="20" xfId="0" applyNumberFormat="1" applyFont="1" applyFill="1" applyBorder="1" applyAlignment="1">
      <alignment horizontal="center" vertical="center" wrapText="1" shrinkToFit="1"/>
    </xf>
    <xf numFmtId="0" fontId="78" fillId="0" borderId="19" xfId="0" applyFont="1" applyFill="1" applyBorder="1" applyAlignment="1">
      <alignment horizontal="center" vertical="center" wrapText="1" shrinkToFit="1"/>
    </xf>
    <xf numFmtId="0" fontId="78" fillId="0" borderId="24" xfId="0" applyFont="1" applyFill="1" applyBorder="1" applyAlignment="1">
      <alignment horizontal="center" vertical="center" wrapText="1" shrinkToFit="1"/>
    </xf>
    <xf numFmtId="0" fontId="78" fillId="0" borderId="21" xfId="0" applyFont="1" applyFill="1" applyBorder="1" applyAlignment="1">
      <alignment horizontal="center" vertical="center" wrapText="1" shrinkToFit="1"/>
    </xf>
    <xf numFmtId="0" fontId="78" fillId="0" borderId="22" xfId="0" applyFont="1" applyFill="1" applyBorder="1" applyAlignment="1">
      <alignment horizontal="center" vertical="center" wrapText="1" shrinkToFi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 shrinkToFit="1"/>
    </xf>
    <xf numFmtId="168" fontId="9" fillId="0" borderId="0" xfId="0" applyNumberFormat="1" applyFont="1" applyFill="1" applyBorder="1" applyAlignment="1">
      <alignment horizontal="center" vertical="center" wrapText="1"/>
    </xf>
    <xf numFmtId="168" fontId="73" fillId="0" borderId="0" xfId="0" applyNumberFormat="1" applyFont="1" applyFill="1" applyBorder="1" applyAlignment="1">
      <alignment horizontal="center"/>
    </xf>
    <xf numFmtId="168" fontId="5" fillId="0" borderId="14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68" fontId="9" fillId="0" borderId="14" xfId="0" applyNumberFormat="1" applyFont="1" applyFill="1" applyBorder="1" applyAlignment="1">
      <alignment horizontal="center" vertical="center" wrapText="1"/>
    </xf>
    <xf numFmtId="168" fontId="9" fillId="0" borderId="17" xfId="0" applyNumberFormat="1" applyFont="1" applyFill="1" applyBorder="1" applyAlignment="1">
      <alignment horizontal="center" vertical="center" wrapText="1"/>
    </xf>
    <xf numFmtId="168" fontId="9" fillId="0" borderId="16" xfId="0" applyNumberFormat="1" applyFont="1" applyFill="1" applyBorder="1" applyAlignment="1">
      <alignment horizontal="center" vertical="center" wrapText="1"/>
    </xf>
  </cellXfs>
  <cellStyles count="355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Обычный_Таблиця 5.1" xfId="285"/>
    <cellStyle name="Плохой 2" xfId="286"/>
    <cellStyle name="Плохой 3" xfId="287"/>
    <cellStyle name="Пояснение 2" xfId="288"/>
    <cellStyle name="Пояснение 3" xfId="289"/>
    <cellStyle name="Примечание 2" xfId="290"/>
    <cellStyle name="Примечание 3" xfId="291"/>
    <cellStyle name="Процентный" xfId="292" builtinId="5"/>
    <cellStyle name="Процентный 2" xfId="293"/>
    <cellStyle name="Процентный 2 10" xfId="294"/>
    <cellStyle name="Процентный 2 11" xfId="295"/>
    <cellStyle name="Процентный 2 12" xfId="296"/>
    <cellStyle name="Процентный 2 13" xfId="297"/>
    <cellStyle name="Процентный 2 14" xfId="298"/>
    <cellStyle name="Процентный 2 15" xfId="299"/>
    <cellStyle name="Процентный 2 16" xfId="300"/>
    <cellStyle name="Процентный 2 2" xfId="301"/>
    <cellStyle name="Процентный 2 3" xfId="302"/>
    <cellStyle name="Процентный 2 4" xfId="303"/>
    <cellStyle name="Процентный 2 5" xfId="304"/>
    <cellStyle name="Процентный 2 6" xfId="305"/>
    <cellStyle name="Процентный 2 7" xfId="306"/>
    <cellStyle name="Процентный 2 8" xfId="307"/>
    <cellStyle name="Процентный 2 9" xfId="308"/>
    <cellStyle name="Процентный 3" xfId="309"/>
    <cellStyle name="Процентный 4" xfId="310"/>
    <cellStyle name="Процентный 4 2" xfId="311"/>
    <cellStyle name="Связанная ячейка 2" xfId="312"/>
    <cellStyle name="Связанная ячейка 3" xfId="313"/>
    <cellStyle name="Стиль 1" xfId="314"/>
    <cellStyle name="Стиль 1 2" xfId="315"/>
    <cellStyle name="Стиль 1 3" xfId="316"/>
    <cellStyle name="Стиль 1 4" xfId="317"/>
    <cellStyle name="Стиль 1 5" xfId="318"/>
    <cellStyle name="Стиль 1 6" xfId="319"/>
    <cellStyle name="Стиль 1 7" xfId="320"/>
    <cellStyle name="Текст предупреждения 2" xfId="321"/>
    <cellStyle name="Текст предупреждения 3" xfId="322"/>
    <cellStyle name="Тысячи [0]_1.62" xfId="323"/>
    <cellStyle name="Тысячи_1.62" xfId="324"/>
    <cellStyle name="Финансовый 2" xfId="325"/>
    <cellStyle name="Финансовый 2 10" xfId="326"/>
    <cellStyle name="Финансовый 2 11" xfId="327"/>
    <cellStyle name="Финансовый 2 12" xfId="328"/>
    <cellStyle name="Финансовый 2 13" xfId="329"/>
    <cellStyle name="Финансовый 2 14" xfId="330"/>
    <cellStyle name="Финансовый 2 15" xfId="331"/>
    <cellStyle name="Финансовый 2 16" xfId="332"/>
    <cellStyle name="Финансовый 2 17" xfId="333"/>
    <cellStyle name="Финансовый 2 2" xfId="334"/>
    <cellStyle name="Финансовый 2 3" xfId="335"/>
    <cellStyle name="Финансовый 2 4" xfId="336"/>
    <cellStyle name="Финансовый 2 5" xfId="337"/>
    <cellStyle name="Финансовый 2 6" xfId="338"/>
    <cellStyle name="Финансовый 2 7" xfId="339"/>
    <cellStyle name="Финансовый 2 8" xfId="340"/>
    <cellStyle name="Финансовый 2 9" xfId="341"/>
    <cellStyle name="Финансовый 3" xfId="342"/>
    <cellStyle name="Финансовый 3 2" xfId="343"/>
    <cellStyle name="Финансовый 4" xfId="344"/>
    <cellStyle name="Финансовый 4 2" xfId="345"/>
    <cellStyle name="Финансовый 4 3" xfId="346"/>
    <cellStyle name="Финансовый 5" xfId="347"/>
    <cellStyle name="Финансовый 6" xfId="348"/>
    <cellStyle name="Финансовый 7" xfId="349"/>
    <cellStyle name="Хороший 2" xfId="350"/>
    <cellStyle name="Хороший 3" xfId="351"/>
    <cellStyle name="числовой" xfId="352"/>
    <cellStyle name="Ю" xfId="353"/>
    <cellStyle name="Ю-FreeSet_10" xfId="3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Inform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340"/>
  <sheetViews>
    <sheetView tabSelected="1" view="pageBreakPreview" zoomScale="75" zoomScaleNormal="85" zoomScaleSheetLayoutView="75" workbookViewId="0">
      <selection activeCell="D142" sqref="D142"/>
    </sheetView>
  </sheetViews>
  <sheetFormatPr defaultRowHeight="18.75"/>
  <cols>
    <col min="1" max="1" width="72.5703125" style="2" customWidth="1"/>
    <col min="2" max="2" width="17.140625" style="23" customWidth="1"/>
    <col min="3" max="5" width="25.28515625" style="23" customWidth="1"/>
    <col min="6" max="6" width="23.42578125" style="23" customWidth="1"/>
    <col min="7" max="7" width="23.85546875" style="23" customWidth="1"/>
    <col min="8" max="8" width="22.42578125" style="23" customWidth="1"/>
    <col min="9" max="9" width="10" style="2" customWidth="1"/>
    <col min="10" max="10" width="9.5703125" style="2" customWidth="1"/>
    <col min="11" max="16384" width="9.140625" style="2"/>
  </cols>
  <sheetData>
    <row r="1" spans="1:12" ht="18.75" customHeight="1">
      <c r="B1" s="20"/>
      <c r="C1" s="20"/>
      <c r="D1" s="20"/>
      <c r="E1" s="2"/>
      <c r="F1" s="312" t="s">
        <v>198</v>
      </c>
      <c r="G1" s="312"/>
      <c r="H1" s="312"/>
      <c r="I1"/>
      <c r="J1"/>
      <c r="K1"/>
      <c r="L1"/>
    </row>
    <row r="2" spans="1:12" ht="18.75" customHeight="1">
      <c r="A2" s="73"/>
      <c r="E2" s="2"/>
      <c r="F2" s="312" t="s">
        <v>107</v>
      </c>
      <c r="G2" s="312"/>
      <c r="H2" s="312"/>
      <c r="I2"/>
      <c r="J2"/>
      <c r="K2"/>
      <c r="L2"/>
    </row>
    <row r="3" spans="1:12" ht="18.75" customHeight="1">
      <c r="A3" s="23"/>
      <c r="E3" s="72"/>
      <c r="F3" s="312" t="s">
        <v>215</v>
      </c>
      <c r="G3" s="312"/>
      <c r="H3" s="312"/>
      <c r="I3"/>
      <c r="J3"/>
      <c r="K3"/>
      <c r="L3"/>
    </row>
    <row r="4" spans="1:12" ht="18.75" customHeight="1">
      <c r="A4" s="23"/>
      <c r="E4" s="72"/>
      <c r="F4" s="312" t="s">
        <v>216</v>
      </c>
      <c r="G4" s="312"/>
      <c r="H4" s="312"/>
      <c r="I4"/>
      <c r="J4"/>
      <c r="K4"/>
      <c r="L4"/>
    </row>
    <row r="5" spans="1:12" ht="28.5" customHeight="1">
      <c r="B5" s="3"/>
      <c r="C5" s="3"/>
      <c r="D5" s="3"/>
      <c r="F5" s="97" t="s">
        <v>279</v>
      </c>
    </row>
    <row r="6" spans="1:12" ht="20.100000000000001" customHeight="1">
      <c r="A6" s="195"/>
      <c r="B6" s="313"/>
      <c r="C6" s="313"/>
      <c r="D6" s="313"/>
      <c r="E6" s="313"/>
      <c r="F6" s="196"/>
      <c r="G6" s="197" t="s">
        <v>134</v>
      </c>
      <c r="H6" s="198" t="s">
        <v>221</v>
      </c>
    </row>
    <row r="7" spans="1:12" ht="20.100000000000001" customHeight="1">
      <c r="A7" s="199" t="s">
        <v>27</v>
      </c>
      <c r="B7" s="313" t="s">
        <v>304</v>
      </c>
      <c r="C7" s="313"/>
      <c r="D7" s="313"/>
      <c r="E7" s="313"/>
      <c r="F7" s="200"/>
      <c r="G7" s="201" t="s">
        <v>129</v>
      </c>
      <c r="H7" s="202" t="s">
        <v>306</v>
      </c>
    </row>
    <row r="8" spans="1:12" ht="20.100000000000001" customHeight="1">
      <c r="A8" s="195" t="s">
        <v>28</v>
      </c>
      <c r="B8" s="313" t="s">
        <v>305</v>
      </c>
      <c r="C8" s="313"/>
      <c r="D8" s="313"/>
      <c r="E8" s="313"/>
      <c r="F8" s="196"/>
      <c r="G8" s="201" t="s">
        <v>128</v>
      </c>
      <c r="H8" s="198">
        <v>140</v>
      </c>
    </row>
    <row r="9" spans="1:12" ht="20.100000000000001" customHeight="1">
      <c r="A9" s="195" t="s">
        <v>33</v>
      </c>
      <c r="B9" s="313" t="s">
        <v>309</v>
      </c>
      <c r="C9" s="313"/>
      <c r="D9" s="313"/>
      <c r="E9" s="313"/>
      <c r="F9" s="196"/>
      <c r="G9" s="201" t="s">
        <v>127</v>
      </c>
      <c r="H9" s="198">
        <v>6510136900</v>
      </c>
    </row>
    <row r="10" spans="1:12" ht="20.100000000000001" customHeight="1">
      <c r="A10" s="199" t="s">
        <v>707</v>
      </c>
      <c r="B10" s="313" t="s">
        <v>308</v>
      </c>
      <c r="C10" s="313"/>
      <c r="D10" s="313"/>
      <c r="E10" s="313"/>
      <c r="F10" s="200"/>
      <c r="G10" s="201" t="s">
        <v>22</v>
      </c>
      <c r="H10" s="198"/>
    </row>
    <row r="11" spans="1:12" ht="20.100000000000001" customHeight="1">
      <c r="A11" s="199" t="s">
        <v>30</v>
      </c>
      <c r="B11" s="313" t="s">
        <v>310</v>
      </c>
      <c r="C11" s="313"/>
      <c r="D11" s="313"/>
      <c r="E11" s="313"/>
      <c r="F11" s="200"/>
      <c r="G11" s="201" t="s">
        <v>21</v>
      </c>
      <c r="H11" s="198"/>
    </row>
    <row r="12" spans="1:12" ht="20.100000000000001" customHeight="1">
      <c r="A12" s="199" t="s">
        <v>29</v>
      </c>
      <c r="B12" s="313" t="s">
        <v>311</v>
      </c>
      <c r="C12" s="313"/>
      <c r="D12" s="313"/>
      <c r="E12" s="313"/>
      <c r="F12" s="200"/>
      <c r="G12" s="201" t="s">
        <v>23</v>
      </c>
      <c r="H12" s="198" t="s">
        <v>307</v>
      </c>
    </row>
    <row r="13" spans="1:12" ht="20.100000000000001" customHeight="1">
      <c r="A13" s="199" t="s">
        <v>272</v>
      </c>
      <c r="B13" s="313"/>
      <c r="C13" s="313"/>
      <c r="D13" s="313"/>
      <c r="E13" s="313"/>
      <c r="F13" s="313" t="s">
        <v>157</v>
      </c>
      <c r="G13" s="318"/>
      <c r="H13" s="203"/>
    </row>
    <row r="14" spans="1:12" ht="20.100000000000001" customHeight="1">
      <c r="A14" s="223" t="s">
        <v>34</v>
      </c>
      <c r="B14" s="316" t="s">
        <v>312</v>
      </c>
      <c r="C14" s="316"/>
      <c r="D14" s="316"/>
      <c r="E14" s="316"/>
      <c r="F14" s="316" t="s">
        <v>158</v>
      </c>
      <c r="G14" s="317"/>
      <c r="H14" s="224"/>
    </row>
    <row r="15" spans="1:12" ht="20.100000000000001" customHeight="1">
      <c r="A15" s="199" t="s">
        <v>106</v>
      </c>
      <c r="B15" s="315">
        <v>707</v>
      </c>
      <c r="C15" s="315"/>
      <c r="D15" s="315"/>
      <c r="E15" s="315"/>
      <c r="F15" s="204"/>
      <c r="G15" s="204"/>
      <c r="H15" s="200"/>
    </row>
    <row r="16" spans="1:12" ht="20.100000000000001" customHeight="1">
      <c r="A16" s="195" t="s">
        <v>24</v>
      </c>
      <c r="B16" s="313" t="s">
        <v>313</v>
      </c>
      <c r="C16" s="313"/>
      <c r="D16" s="313"/>
      <c r="E16" s="313"/>
      <c r="F16" s="205"/>
      <c r="G16" s="205"/>
      <c r="H16" s="196"/>
    </row>
    <row r="17" spans="1:8" ht="20.100000000000001" customHeight="1">
      <c r="A17" s="199" t="s">
        <v>25</v>
      </c>
      <c r="B17" s="313" t="s">
        <v>414</v>
      </c>
      <c r="C17" s="313"/>
      <c r="D17" s="313"/>
      <c r="E17" s="313"/>
      <c r="F17" s="204"/>
      <c r="G17" s="204"/>
      <c r="H17" s="200"/>
    </row>
    <row r="18" spans="1:8" ht="20.100000000000001" customHeight="1">
      <c r="A18" s="195" t="s">
        <v>26</v>
      </c>
      <c r="B18" s="313" t="s">
        <v>737</v>
      </c>
      <c r="C18" s="313"/>
      <c r="D18" s="313"/>
      <c r="E18" s="313"/>
      <c r="F18" s="205"/>
      <c r="G18" s="205"/>
      <c r="H18" s="196"/>
    </row>
    <row r="19" spans="1:8" ht="19.5" customHeight="1">
      <c r="A19" s="72"/>
      <c r="B19" s="2"/>
      <c r="C19" s="2"/>
      <c r="D19" s="2"/>
      <c r="E19" s="2"/>
      <c r="F19" s="2"/>
      <c r="G19" s="2"/>
      <c r="H19" s="2"/>
    </row>
    <row r="20" spans="1:8" ht="19.5" customHeight="1">
      <c r="A20" s="314" t="s">
        <v>199</v>
      </c>
      <c r="B20" s="314"/>
      <c r="C20" s="314"/>
      <c r="D20" s="314"/>
      <c r="E20" s="314"/>
      <c r="F20" s="314"/>
      <c r="G20" s="314"/>
      <c r="H20" s="314"/>
    </row>
    <row r="21" spans="1:8">
      <c r="A21" s="314" t="s">
        <v>200</v>
      </c>
      <c r="B21" s="314"/>
      <c r="C21" s="314"/>
      <c r="D21" s="314"/>
      <c r="E21" s="314"/>
      <c r="F21" s="314"/>
      <c r="G21" s="314"/>
      <c r="H21" s="314"/>
    </row>
    <row r="22" spans="1:8">
      <c r="A22" s="326" t="s">
        <v>736</v>
      </c>
      <c r="B22" s="326"/>
      <c r="C22" s="326"/>
      <c r="D22" s="326"/>
      <c r="E22" s="326"/>
      <c r="F22" s="326"/>
      <c r="G22" s="326"/>
      <c r="H22" s="326"/>
    </row>
    <row r="23" spans="1:8">
      <c r="A23" s="329" t="s">
        <v>201</v>
      </c>
      <c r="B23" s="329"/>
      <c r="C23" s="329"/>
      <c r="D23" s="329"/>
      <c r="E23" s="329"/>
      <c r="F23" s="329"/>
      <c r="G23" s="329"/>
      <c r="H23" s="329"/>
    </row>
    <row r="24" spans="1:8" ht="9" customHeight="1">
      <c r="A24" s="11"/>
      <c r="B24" s="11"/>
      <c r="C24" s="11"/>
      <c r="D24" s="11"/>
      <c r="E24" s="11"/>
      <c r="F24" s="11"/>
      <c r="G24" s="11"/>
      <c r="H24" s="11"/>
    </row>
    <row r="25" spans="1:8">
      <c r="A25" s="314" t="s">
        <v>165</v>
      </c>
      <c r="B25" s="314"/>
      <c r="C25" s="314"/>
      <c r="D25" s="314"/>
      <c r="E25" s="314"/>
      <c r="F25" s="314"/>
      <c r="G25" s="314"/>
      <c r="H25" s="314"/>
    </row>
    <row r="26" spans="1:8" ht="12" customHeight="1">
      <c r="B26" s="25"/>
      <c r="C26" s="25"/>
      <c r="D26" s="25"/>
      <c r="E26" s="25"/>
      <c r="F26" s="25"/>
      <c r="G26" s="25"/>
      <c r="H26" s="25"/>
    </row>
    <row r="27" spans="1:8" ht="36.75" customHeight="1">
      <c r="A27" s="319" t="s">
        <v>242</v>
      </c>
      <c r="B27" s="327" t="s">
        <v>31</v>
      </c>
      <c r="C27" s="327" t="s">
        <v>194</v>
      </c>
      <c r="D27" s="327"/>
      <c r="E27" s="328" t="s">
        <v>561</v>
      </c>
      <c r="F27" s="328"/>
      <c r="G27" s="328"/>
      <c r="H27" s="328"/>
    </row>
    <row r="28" spans="1:8" ht="32.25" customHeight="1">
      <c r="A28" s="319"/>
      <c r="B28" s="327"/>
      <c r="C28" s="6" t="s">
        <v>226</v>
      </c>
      <c r="D28" s="6" t="s">
        <v>227</v>
      </c>
      <c r="E28" s="68" t="s">
        <v>228</v>
      </c>
      <c r="F28" s="68" t="s">
        <v>209</v>
      </c>
      <c r="G28" s="68" t="s">
        <v>237</v>
      </c>
      <c r="H28" s="68" t="s">
        <v>238</v>
      </c>
    </row>
    <row r="29" spans="1:8" ht="18" customHeight="1">
      <c r="A29" s="5">
        <v>1</v>
      </c>
      <c r="B29" s="6">
        <v>2</v>
      </c>
      <c r="C29" s="5">
        <v>3</v>
      </c>
      <c r="D29" s="6">
        <v>4</v>
      </c>
      <c r="E29" s="5">
        <v>5</v>
      </c>
      <c r="F29" s="6">
        <v>6</v>
      </c>
      <c r="G29" s="5">
        <v>7</v>
      </c>
      <c r="H29" s="6">
        <v>8</v>
      </c>
    </row>
    <row r="30" spans="1:8" ht="24.95" customHeight="1">
      <c r="A30" s="330" t="s">
        <v>98</v>
      </c>
      <c r="B30" s="330"/>
      <c r="C30" s="330"/>
      <c r="D30" s="330"/>
      <c r="E30" s="330"/>
      <c r="F30" s="330"/>
      <c r="G30" s="330"/>
      <c r="H30" s="330"/>
    </row>
    <row r="31" spans="1:8" ht="20.100000000000001" customHeight="1">
      <c r="A31" s="77" t="s">
        <v>166</v>
      </c>
      <c r="B31" s="6">
        <f>'I. Фін результат'!B8</f>
        <v>1000</v>
      </c>
      <c r="C31" s="114">
        <f>'I. Фін результат'!C8</f>
        <v>203147</v>
      </c>
      <c r="D31" s="114">
        <f>'I. Фін результат'!D8</f>
        <v>170324</v>
      </c>
      <c r="E31" s="114">
        <f>'I. Фін результат'!E8</f>
        <v>288231.90000000002</v>
      </c>
      <c r="F31" s="114">
        <f>'I. Фін результат'!F8</f>
        <v>170324</v>
      </c>
      <c r="G31" s="161">
        <f>F31-E31</f>
        <v>-117907.90000000002</v>
      </c>
      <c r="H31" s="81">
        <f>F31/E31*100</f>
        <v>59.092695846642926</v>
      </c>
    </row>
    <row r="32" spans="1:8" ht="20.100000000000001" customHeight="1">
      <c r="A32" s="77" t="s">
        <v>149</v>
      </c>
      <c r="B32" s="6">
        <f>'I. Фін результат'!B15</f>
        <v>1010</v>
      </c>
      <c r="C32" s="114">
        <f>'I. Фін результат'!C15</f>
        <v>-159437</v>
      </c>
      <c r="D32" s="114">
        <f>'I. Фін результат'!D15</f>
        <v>-146319</v>
      </c>
      <c r="E32" s="114">
        <f>'I. Фін результат'!E15</f>
        <v>-208504.69999999998</v>
      </c>
      <c r="F32" s="114">
        <f>'I. Фін результат'!F15</f>
        <v>-146319</v>
      </c>
      <c r="G32" s="104">
        <f>-(F32-E32)</f>
        <v>-62185.699999999983</v>
      </c>
      <c r="H32" s="81">
        <f>F32/E32*100</f>
        <v>70.175396525833705</v>
      </c>
    </row>
    <row r="33" spans="1:8" ht="20.100000000000001" customHeight="1">
      <c r="A33" s="78" t="s">
        <v>229</v>
      </c>
      <c r="B33" s="134">
        <f>'I. Фін результат'!B54</f>
        <v>1020</v>
      </c>
      <c r="C33" s="162">
        <f>'I. Фін результат'!C54</f>
        <v>43710</v>
      </c>
      <c r="D33" s="162">
        <f>'I. Фін результат'!D54</f>
        <v>24005</v>
      </c>
      <c r="E33" s="162">
        <f>'I. Фін результат'!E54</f>
        <v>79727.200000000041</v>
      </c>
      <c r="F33" s="162">
        <f>'I. Фін результат'!F54</f>
        <v>24005</v>
      </c>
      <c r="G33" s="162">
        <f>F33-E33</f>
        <v>-55722.200000000041</v>
      </c>
      <c r="H33" s="163">
        <f>F33/E33*100</f>
        <v>30.108921422049171</v>
      </c>
    </row>
    <row r="34" spans="1:8" ht="20.100000000000001" customHeight="1">
      <c r="A34" s="77" t="s">
        <v>186</v>
      </c>
      <c r="B34" s="6">
        <f>'I. Фін результат'!B55</f>
        <v>1030</v>
      </c>
      <c r="C34" s="114">
        <f>'I. Фін результат'!C55</f>
        <v>-20151</v>
      </c>
      <c r="D34" s="114">
        <f>'I. Фін результат'!D55</f>
        <v>-20602</v>
      </c>
      <c r="E34" s="114">
        <f>'I. Фін результат'!E55</f>
        <v>-27870.699999999997</v>
      </c>
      <c r="F34" s="114">
        <f>'I. Фін результат'!F55</f>
        <v>-20602</v>
      </c>
      <c r="G34" s="104">
        <f>-(F34-E34)</f>
        <v>-7268.6999999999971</v>
      </c>
      <c r="H34" s="81">
        <f>F34/E34*100</f>
        <v>73.919923073335099</v>
      </c>
    </row>
    <row r="35" spans="1:8" ht="37.5">
      <c r="A35" s="77" t="s">
        <v>562</v>
      </c>
      <c r="B35" s="6">
        <v>1031</v>
      </c>
      <c r="C35" s="114">
        <f>'I. Фін результат'!C56</f>
        <v>-340.7</v>
      </c>
      <c r="D35" s="114">
        <f>'I. Фін результат'!D56</f>
        <v>-389</v>
      </c>
      <c r="E35" s="114">
        <f>'I. Фін результат'!E56</f>
        <v>-298.60000000000002</v>
      </c>
      <c r="F35" s="114">
        <f>'I. Фін результат'!F56</f>
        <v>-389</v>
      </c>
      <c r="G35" s="104">
        <f t="shared" ref="G35:G47" si="0">-(F35-E35)</f>
        <v>90.399999999999977</v>
      </c>
      <c r="H35" s="81">
        <f>F35/E35*100</f>
        <v>130.27461486939046</v>
      </c>
    </row>
    <row r="36" spans="1:8" ht="20.100000000000001" customHeight="1">
      <c r="A36" s="77" t="s">
        <v>169</v>
      </c>
      <c r="B36" s="6">
        <v>1032</v>
      </c>
      <c r="C36" s="114">
        <f>'I. Фін результат'!C57</f>
        <v>0</v>
      </c>
      <c r="D36" s="114">
        <f>'I. Фін результат'!D57</f>
        <v>0</v>
      </c>
      <c r="E36" s="114">
        <f>'I. Фін результат'!E57</f>
        <v>0</v>
      </c>
      <c r="F36" s="114">
        <f>'I. Фін результат'!F57</f>
        <v>0</v>
      </c>
      <c r="G36" s="104">
        <f t="shared" si="0"/>
        <v>0</v>
      </c>
      <c r="H36" s="81"/>
    </row>
    <row r="37" spans="1:8" ht="20.100000000000001" customHeight="1">
      <c r="A37" s="77" t="s">
        <v>563</v>
      </c>
      <c r="B37" s="6">
        <v>1033</v>
      </c>
      <c r="C37" s="114">
        <f>'I. Фін результат'!C58</f>
        <v>0</v>
      </c>
      <c r="D37" s="114">
        <f>'I. Фін результат'!D58</f>
        <v>0</v>
      </c>
      <c r="E37" s="114">
        <f>'I. Фін результат'!E58</f>
        <v>0</v>
      </c>
      <c r="F37" s="114">
        <f>'I. Фін результат'!F58</f>
        <v>0</v>
      </c>
      <c r="G37" s="104">
        <f t="shared" si="0"/>
        <v>0</v>
      </c>
      <c r="H37" s="81"/>
    </row>
    <row r="38" spans="1:8" ht="20.100000000000001" customHeight="1">
      <c r="A38" s="77" t="s">
        <v>35</v>
      </c>
      <c r="B38" s="6">
        <v>1034</v>
      </c>
      <c r="C38" s="114">
        <f>'I. Фін результат'!C59</f>
        <v>0</v>
      </c>
      <c r="D38" s="114">
        <f>'I. Фін результат'!D59</f>
        <v>0</v>
      </c>
      <c r="E38" s="114">
        <f>'I. Фін результат'!E59</f>
        <v>0</v>
      </c>
      <c r="F38" s="114">
        <f>'I. Фін результат'!F59</f>
        <v>0</v>
      </c>
      <c r="G38" s="104">
        <f t="shared" si="0"/>
        <v>0</v>
      </c>
      <c r="H38" s="81"/>
    </row>
    <row r="39" spans="1:8" ht="20.100000000000001" customHeight="1">
      <c r="A39" s="77" t="s">
        <v>36</v>
      </c>
      <c r="B39" s="6">
        <v>1035</v>
      </c>
      <c r="C39" s="114">
        <f>'I. Фін результат'!C60</f>
        <v>0</v>
      </c>
      <c r="D39" s="114">
        <f>'I. Фін результат'!D60</f>
        <v>-750</v>
      </c>
      <c r="E39" s="114">
        <f>'I. Фін результат'!E60</f>
        <v>-1000</v>
      </c>
      <c r="F39" s="114">
        <f>'I. Фін результат'!F60</f>
        <v>-750</v>
      </c>
      <c r="G39" s="104">
        <f t="shared" si="0"/>
        <v>-250</v>
      </c>
      <c r="H39" s="81">
        <f>F39/E39*100</f>
        <v>75</v>
      </c>
    </row>
    <row r="40" spans="1:8" ht="20.100000000000001" customHeight="1">
      <c r="A40" s="77" t="s">
        <v>135</v>
      </c>
      <c r="B40" s="6">
        <f>'I. Фін результат'!B85</f>
        <v>1060</v>
      </c>
      <c r="C40" s="114">
        <f>'I. Фін результат'!C85</f>
        <v>-5921</v>
      </c>
      <c r="D40" s="114">
        <f>'I. Фін результат'!D85</f>
        <v>0</v>
      </c>
      <c r="E40" s="114">
        <f>'I. Фін результат'!E85</f>
        <v>0</v>
      </c>
      <c r="F40" s="114">
        <f>'I. Фін результат'!F85</f>
        <v>0</v>
      </c>
      <c r="G40" s="104">
        <f t="shared" si="0"/>
        <v>0</v>
      </c>
      <c r="H40" s="81"/>
    </row>
    <row r="41" spans="1:8" ht="20.100000000000001" customHeight="1">
      <c r="A41" s="77" t="s">
        <v>564</v>
      </c>
      <c r="B41" s="6">
        <v>1070</v>
      </c>
      <c r="C41" s="114">
        <f>'I. Фін результат'!C92</f>
        <v>22714</v>
      </c>
      <c r="D41" s="114">
        <f>'I. Фін результат'!D92</f>
        <v>10758</v>
      </c>
      <c r="E41" s="114">
        <f>'I. Фін результат'!E92</f>
        <v>8050</v>
      </c>
      <c r="F41" s="114">
        <f>'I. Фін результат'!F92</f>
        <v>10758</v>
      </c>
      <c r="G41" s="104">
        <f t="shared" si="0"/>
        <v>-2708</v>
      </c>
      <c r="H41" s="81">
        <f>F41/E41*100</f>
        <v>133.63975155279505</v>
      </c>
    </row>
    <row r="42" spans="1:8" ht="20.100000000000001" customHeight="1">
      <c r="A42" s="77" t="s">
        <v>177</v>
      </c>
      <c r="B42" s="6">
        <v>1071</v>
      </c>
      <c r="C42" s="114">
        <f>'I. Фін результат'!C93</f>
        <v>15478.900000000001</v>
      </c>
      <c r="D42" s="114">
        <f>'I. Фін результат'!D93</f>
        <v>4766.8</v>
      </c>
      <c r="E42" s="114">
        <f>'I. Фін результат'!E93</f>
        <v>4350</v>
      </c>
      <c r="F42" s="114">
        <f>'I. Фін результат'!F93</f>
        <v>4766.8</v>
      </c>
      <c r="G42" s="104">
        <f t="shared" si="0"/>
        <v>-416.80000000000018</v>
      </c>
      <c r="H42" s="81"/>
    </row>
    <row r="43" spans="1:8" ht="20.100000000000001" customHeight="1">
      <c r="A43" s="77" t="s">
        <v>565</v>
      </c>
      <c r="B43" s="6">
        <v>1072</v>
      </c>
      <c r="C43" s="114">
        <f>'I. Фін результат'!C94</f>
        <v>0</v>
      </c>
      <c r="D43" s="114">
        <f>'I. Фін результат'!D94</f>
        <v>0</v>
      </c>
      <c r="E43" s="114">
        <f>'I. Фін результат'!E94</f>
        <v>0</v>
      </c>
      <c r="F43" s="114">
        <f>'I. Фін результат'!F94</f>
        <v>0</v>
      </c>
      <c r="G43" s="104">
        <f t="shared" si="0"/>
        <v>0</v>
      </c>
      <c r="H43" s="81"/>
    </row>
    <row r="44" spans="1:8" ht="20.100000000000001" customHeight="1">
      <c r="A44" s="77" t="s">
        <v>566</v>
      </c>
      <c r="B44" s="6">
        <v>1080</v>
      </c>
      <c r="C44" s="114">
        <f>'I. Фін результат'!C106</f>
        <v>-19769</v>
      </c>
      <c r="D44" s="114">
        <f>'I. Фін результат'!D106</f>
        <v>-21221</v>
      </c>
      <c r="E44" s="114">
        <f>'I. Фін результат'!E106</f>
        <v>-1101.7</v>
      </c>
      <c r="F44" s="114">
        <f>'I. Фін результат'!F106</f>
        <v>-21221</v>
      </c>
      <c r="G44" s="104">
        <f t="shared" si="0"/>
        <v>20119.3</v>
      </c>
      <c r="H44" s="81">
        <f>F44/E44*100</f>
        <v>1926.2049559771262</v>
      </c>
    </row>
    <row r="45" spans="1:8" ht="20.100000000000001" customHeight="1">
      <c r="A45" s="77" t="s">
        <v>177</v>
      </c>
      <c r="B45" s="6">
        <v>1081</v>
      </c>
      <c r="C45" s="114">
        <f>'I. Фін результат'!C107</f>
        <v>-10760.7</v>
      </c>
      <c r="D45" s="114">
        <f>'I. Фін результат'!D107</f>
        <v>-4909.8999999999996</v>
      </c>
      <c r="E45" s="114">
        <f>'I. Фін результат'!E107</f>
        <v>0</v>
      </c>
      <c r="F45" s="114">
        <f>'I. Фін результат'!F107</f>
        <v>-4909.8999999999996</v>
      </c>
      <c r="G45" s="104">
        <f t="shared" si="0"/>
        <v>4909.8999999999996</v>
      </c>
      <c r="H45" s="81"/>
    </row>
    <row r="46" spans="1:8" ht="20.100000000000001" customHeight="1">
      <c r="A46" s="77" t="s">
        <v>567</v>
      </c>
      <c r="B46" s="6">
        <v>1082</v>
      </c>
      <c r="C46" s="114">
        <f>'I. Фін результат'!C108</f>
        <v>0</v>
      </c>
      <c r="D46" s="114">
        <f>'I. Фін результат'!D108</f>
        <v>0</v>
      </c>
      <c r="E46" s="114">
        <f>'I. Фін результат'!E108</f>
        <v>0</v>
      </c>
      <c r="F46" s="114">
        <f>'I. Фін результат'!F108</f>
        <v>0</v>
      </c>
      <c r="G46" s="104">
        <f t="shared" si="0"/>
        <v>0</v>
      </c>
      <c r="H46" s="81"/>
    </row>
    <row r="47" spans="1:8" ht="20.100000000000001" customHeight="1">
      <c r="A47" s="9" t="s">
        <v>17</v>
      </c>
      <c r="B47" s="134">
        <f>'I. Фін результат'!B123</f>
        <v>1100</v>
      </c>
      <c r="C47" s="162">
        <f>'I. Фін результат'!C123</f>
        <v>20583</v>
      </c>
      <c r="D47" s="162">
        <f>'I. Фін результат'!D123</f>
        <v>-7060</v>
      </c>
      <c r="E47" s="162">
        <f>'I. Фін результат'!E123</f>
        <v>58804.800000000047</v>
      </c>
      <c r="F47" s="162">
        <f>'I. Фін результат'!F123</f>
        <v>-7060</v>
      </c>
      <c r="G47" s="115">
        <f t="shared" si="0"/>
        <v>65864.800000000047</v>
      </c>
      <c r="H47" s="163">
        <f>F47/E47*100</f>
        <v>-12.005822653933002</v>
      </c>
    </row>
    <row r="48" spans="1:8" ht="20.100000000000001" customHeight="1">
      <c r="A48" s="79" t="s">
        <v>136</v>
      </c>
      <c r="B48" s="134">
        <f>'I. Фін результат'!B161</f>
        <v>1310</v>
      </c>
      <c r="C48" s="162">
        <f>'I. Фін результат'!C161</f>
        <v>28230.799999999999</v>
      </c>
      <c r="D48" s="162">
        <f>'I. Фін результат'!D161</f>
        <v>7018.0999999999995</v>
      </c>
      <c r="E48" s="162">
        <f>'I. Фін результат'!E161</f>
        <v>66667.200000000041</v>
      </c>
      <c r="F48" s="162">
        <f>'I. Фін результат'!F161</f>
        <v>7018.0999999999995</v>
      </c>
      <c r="G48" s="115">
        <f t="shared" ref="G48:G56" si="1">-(F48-E48)</f>
        <v>59649.100000000042</v>
      </c>
      <c r="H48" s="163">
        <f t="shared" ref="H48:H56" si="2">F48/E48*100</f>
        <v>10.527065783473725</v>
      </c>
    </row>
    <row r="49" spans="1:8" ht="20.100000000000001" customHeight="1">
      <c r="A49" s="79" t="s">
        <v>188</v>
      </c>
      <c r="B49" s="6">
        <f>' V. Коефіцієнти'!B10</f>
        <v>5010</v>
      </c>
      <c r="C49" s="162">
        <f>' V. Коефіцієнти'!D10</f>
        <v>13.896734876714891</v>
      </c>
      <c r="D49" s="162">
        <f>' V. Коефіцієнти'!E10</f>
        <v>4.1204410417791975</v>
      </c>
      <c r="E49" s="162">
        <f>E48/E31*100</f>
        <v>23.129709098819401</v>
      </c>
      <c r="F49" s="162">
        <f>' V. Коефіцієнти'!G10</f>
        <v>4.1204410417791975</v>
      </c>
      <c r="G49" s="115">
        <f t="shared" si="1"/>
        <v>19.009268057040202</v>
      </c>
      <c r="H49" s="163">
        <f t="shared" si="2"/>
        <v>17.814495738684045</v>
      </c>
    </row>
    <row r="50" spans="1:8" ht="20.100000000000001" customHeight="1">
      <c r="A50" s="80" t="s">
        <v>568</v>
      </c>
      <c r="B50" s="6">
        <v>1110</v>
      </c>
      <c r="C50" s="114">
        <f>'I. Фін результат'!C124</f>
        <v>0</v>
      </c>
      <c r="D50" s="114">
        <f>'I. Фін результат'!D124</f>
        <v>0</v>
      </c>
      <c r="E50" s="114">
        <f>'I. Фін результат'!E124</f>
        <v>0</v>
      </c>
      <c r="F50" s="114">
        <f>'I. Фін результат'!F124</f>
        <v>0</v>
      </c>
      <c r="G50" s="104">
        <f t="shared" si="1"/>
        <v>0</v>
      </c>
      <c r="H50" s="81"/>
    </row>
    <row r="51" spans="1:8" ht="20.100000000000001" customHeight="1">
      <c r="A51" s="80" t="s">
        <v>569</v>
      </c>
      <c r="B51" s="6">
        <v>1120</v>
      </c>
      <c r="C51" s="114">
        <f>'I. Фін результат'!C125</f>
        <v>0</v>
      </c>
      <c r="D51" s="114">
        <f>'I. Фін результат'!D125</f>
        <v>0</v>
      </c>
      <c r="E51" s="114">
        <f>'I. Фін результат'!E125</f>
        <v>0</v>
      </c>
      <c r="F51" s="114">
        <f>'I. Фін результат'!F125</f>
        <v>0</v>
      </c>
      <c r="G51" s="104">
        <f t="shared" si="1"/>
        <v>0</v>
      </c>
      <c r="H51" s="81"/>
    </row>
    <row r="52" spans="1:8" ht="20.100000000000001" customHeight="1">
      <c r="A52" s="80" t="s">
        <v>570</v>
      </c>
      <c r="B52" s="6">
        <v>1130</v>
      </c>
      <c r="C52" s="114">
        <f>'I. Фін результат'!C126</f>
        <v>0</v>
      </c>
      <c r="D52" s="114">
        <f>'I. Фін результат'!D126</f>
        <v>0</v>
      </c>
      <c r="E52" s="114">
        <f>'I. Фін результат'!E126</f>
        <v>0</v>
      </c>
      <c r="F52" s="114">
        <f>'I. Фін результат'!F126</f>
        <v>0</v>
      </c>
      <c r="G52" s="104">
        <f t="shared" si="1"/>
        <v>0</v>
      </c>
      <c r="H52" s="81"/>
    </row>
    <row r="53" spans="1:8" ht="20.100000000000001" customHeight="1">
      <c r="A53" s="80" t="s">
        <v>571</v>
      </c>
      <c r="B53" s="6">
        <v>1140</v>
      </c>
      <c r="C53" s="114">
        <f>'I. Фін результат'!C127</f>
        <v>0</v>
      </c>
      <c r="D53" s="114">
        <f>'I. Фін результат'!D127</f>
        <v>0</v>
      </c>
      <c r="E53" s="114">
        <f>'I. Фін результат'!E127</f>
        <v>0</v>
      </c>
      <c r="F53" s="114">
        <f>'I. Фін результат'!F127</f>
        <v>0</v>
      </c>
      <c r="G53" s="104">
        <f t="shared" si="1"/>
        <v>0</v>
      </c>
      <c r="H53" s="81"/>
    </row>
    <row r="54" spans="1:8" ht="20.100000000000001" customHeight="1">
      <c r="A54" s="77" t="s">
        <v>572</v>
      </c>
      <c r="B54" s="6">
        <v>1150</v>
      </c>
      <c r="C54" s="114">
        <f>'I. Фін результат'!C128</f>
        <v>890</v>
      </c>
      <c r="D54" s="114">
        <f>'I. Фін результат'!D128</f>
        <v>1558</v>
      </c>
      <c r="E54" s="114">
        <f>'I. Фін результат'!E128</f>
        <v>474.4</v>
      </c>
      <c r="F54" s="114">
        <f>'I. Фін результат'!F128</f>
        <v>1558</v>
      </c>
      <c r="G54" s="104">
        <f t="shared" si="1"/>
        <v>-1083.5999999999999</v>
      </c>
      <c r="H54" s="81">
        <f t="shared" si="2"/>
        <v>328.41483979763916</v>
      </c>
    </row>
    <row r="55" spans="1:8" ht="20.100000000000001" customHeight="1">
      <c r="A55" s="80" t="s">
        <v>177</v>
      </c>
      <c r="B55" s="6">
        <v>1151</v>
      </c>
      <c r="C55" s="114">
        <f>'I. Фін результат'!C129</f>
        <v>0</v>
      </c>
      <c r="D55" s="114">
        <f>'I. Фін результат'!D129</f>
        <v>0</v>
      </c>
      <c r="E55" s="114">
        <f>'I. Фін результат'!E129</f>
        <v>0</v>
      </c>
      <c r="F55" s="114">
        <f>'I. Фін результат'!F129</f>
        <v>0</v>
      </c>
      <c r="G55" s="104">
        <f t="shared" si="1"/>
        <v>0</v>
      </c>
      <c r="H55" s="81"/>
    </row>
    <row r="56" spans="1:8" ht="20.100000000000001" customHeight="1">
      <c r="A56" s="80" t="s">
        <v>573</v>
      </c>
      <c r="B56" s="6">
        <v>1160</v>
      </c>
      <c r="C56" s="114">
        <f>'I. Фін результат'!C134</f>
        <v>-706</v>
      </c>
      <c r="D56" s="114">
        <f>'I. Фін результат'!D134</f>
        <v>-373</v>
      </c>
      <c r="E56" s="114">
        <f>'I. Фін результат'!E134</f>
        <v>-6237.4</v>
      </c>
      <c r="F56" s="114">
        <f>'I. Фін результат'!F134</f>
        <v>-373</v>
      </c>
      <c r="G56" s="104">
        <f t="shared" si="1"/>
        <v>-5864.4</v>
      </c>
      <c r="H56" s="81">
        <f t="shared" si="2"/>
        <v>5.9800557924776347</v>
      </c>
    </row>
    <row r="57" spans="1:8" ht="20.100000000000001" customHeight="1">
      <c r="A57" s="80" t="s">
        <v>177</v>
      </c>
      <c r="B57" s="6">
        <v>1161</v>
      </c>
      <c r="C57" s="114">
        <f>'I. Фін результат'!C135</f>
        <v>0</v>
      </c>
      <c r="D57" s="114">
        <f>'I. Фін результат'!D135</f>
        <v>0</v>
      </c>
      <c r="E57" s="114">
        <f>'I. Фін результат'!E135</f>
        <v>0</v>
      </c>
      <c r="F57" s="114">
        <f>'I. Фін результат'!F135</f>
        <v>0</v>
      </c>
      <c r="G57" s="104">
        <f>-(F57-E57)</f>
        <v>0</v>
      </c>
      <c r="H57" s="81"/>
    </row>
    <row r="58" spans="1:8" ht="20.100000000000001" customHeight="1">
      <c r="A58" s="79" t="s">
        <v>96</v>
      </c>
      <c r="B58" s="134">
        <f>'I. Фін результат'!B143</f>
        <v>1170</v>
      </c>
      <c r="C58" s="162">
        <f>'I. Фін результат'!C143</f>
        <v>20767</v>
      </c>
      <c r="D58" s="162">
        <f>'I. Фін результат'!D143</f>
        <v>-5875</v>
      </c>
      <c r="E58" s="162">
        <f>'I. Фін результат'!E143</f>
        <v>53041.800000000047</v>
      </c>
      <c r="F58" s="162">
        <f>'I. Фін результат'!F143</f>
        <v>-5875</v>
      </c>
      <c r="G58" s="162">
        <f>F58-E58</f>
        <v>-58916.800000000047</v>
      </c>
      <c r="H58" s="163">
        <f>F58/E58*100</f>
        <v>-11.076170114890511</v>
      </c>
    </row>
    <row r="59" spans="1:8" ht="20.100000000000001" customHeight="1">
      <c r="A59" s="7" t="s">
        <v>464</v>
      </c>
      <c r="B59" s="6">
        <f>'I. Фін результат'!B144</f>
        <v>1180</v>
      </c>
      <c r="C59" s="114">
        <f>'I. Фін результат'!C144</f>
        <v>-5104</v>
      </c>
      <c r="D59" s="114">
        <f>'I. Фін результат'!D144</f>
        <v>-2343</v>
      </c>
      <c r="E59" s="114">
        <f>'I. Фін результат'!E144</f>
        <v>-9547.5</v>
      </c>
      <c r="F59" s="114">
        <f>'I. Фін результат'!F144</f>
        <v>-2343</v>
      </c>
      <c r="G59" s="104">
        <f>-(F59-E59)</f>
        <v>-7204.5</v>
      </c>
      <c r="H59" s="81">
        <f>F59/E59*100</f>
        <v>24.540455616653574</v>
      </c>
    </row>
    <row r="60" spans="1:8" ht="20.100000000000001" customHeight="1">
      <c r="A60" s="7" t="s">
        <v>465</v>
      </c>
      <c r="B60" s="6">
        <v>1181</v>
      </c>
      <c r="C60" s="114">
        <f>'I. Фін результат'!C145</f>
        <v>656</v>
      </c>
      <c r="D60" s="114">
        <f>'I. Фін результат'!D145</f>
        <v>1846</v>
      </c>
      <c r="E60" s="114">
        <f>'I. Фін результат'!E145</f>
        <v>0</v>
      </c>
      <c r="F60" s="114">
        <f>'I. Фін результат'!F145</f>
        <v>1846</v>
      </c>
      <c r="G60" s="104">
        <f t="shared" ref="G60:G77" si="3">-(F60-E60)</f>
        <v>-1846</v>
      </c>
      <c r="H60" s="81"/>
    </row>
    <row r="61" spans="1:8" ht="20.100000000000001" customHeight="1">
      <c r="A61" s="7" t="s">
        <v>466</v>
      </c>
      <c r="B61" s="6">
        <v>1190</v>
      </c>
      <c r="C61" s="114">
        <f>'I. Фін результат'!C146</f>
        <v>0</v>
      </c>
      <c r="D61" s="114">
        <f>'I. Фін результат'!D146</f>
        <v>0</v>
      </c>
      <c r="E61" s="114">
        <f>'I. Фін результат'!E146</f>
        <v>0</v>
      </c>
      <c r="F61" s="114">
        <f>'I. Фін результат'!F146</f>
        <v>0</v>
      </c>
      <c r="G61" s="104">
        <f t="shared" si="3"/>
        <v>0</v>
      </c>
      <c r="H61" s="81"/>
    </row>
    <row r="62" spans="1:8" ht="20.100000000000001" customHeight="1">
      <c r="A62" s="7" t="s">
        <v>467</v>
      </c>
      <c r="B62" s="6">
        <v>1191</v>
      </c>
      <c r="C62" s="114">
        <f>'I. Фін результат'!C147</f>
        <v>0</v>
      </c>
      <c r="D62" s="114">
        <f>'I. Фін результат'!D147</f>
        <v>0</v>
      </c>
      <c r="E62" s="114">
        <f>'I. Фін результат'!E147</f>
        <v>0</v>
      </c>
      <c r="F62" s="114">
        <f>'I. Фін результат'!F147</f>
        <v>0</v>
      </c>
      <c r="G62" s="104">
        <f t="shared" si="3"/>
        <v>0</v>
      </c>
      <c r="H62" s="81"/>
    </row>
    <row r="63" spans="1:8" ht="20.100000000000001" customHeight="1">
      <c r="A63" s="9" t="s">
        <v>189</v>
      </c>
      <c r="B63" s="134">
        <f>'I. Фін результат'!B148</f>
        <v>1200</v>
      </c>
      <c r="C63" s="162">
        <f>'I. Фін результат'!C148</f>
        <v>16319</v>
      </c>
      <c r="D63" s="162">
        <f>'I. Фін результат'!D148</f>
        <v>-6372</v>
      </c>
      <c r="E63" s="162">
        <f>'I. Фін результат'!E148</f>
        <v>43494.300000000047</v>
      </c>
      <c r="F63" s="162">
        <f>'I. Фін результат'!F148</f>
        <v>-6372</v>
      </c>
      <c r="G63" s="115">
        <f t="shared" si="3"/>
        <v>49866.300000000047</v>
      </c>
      <c r="H63" s="163">
        <f t="shared" ref="H63:H77" si="4">F63/E63*100</f>
        <v>-14.650195542864223</v>
      </c>
    </row>
    <row r="64" spans="1:8" ht="20.100000000000001" customHeight="1">
      <c r="A64" s="7" t="s">
        <v>574</v>
      </c>
      <c r="B64" s="6">
        <v>1201</v>
      </c>
      <c r="C64" s="114">
        <f>'I. Фін результат'!C149</f>
        <v>16319</v>
      </c>
      <c r="D64" s="114">
        <f>'I. Фін результат'!D149</f>
        <v>8626</v>
      </c>
      <c r="E64" s="114">
        <f>'I. Фін результат'!E149</f>
        <v>43494.300000000047</v>
      </c>
      <c r="F64" s="114">
        <f>'I. Фін результат'!F149</f>
        <v>8626</v>
      </c>
      <c r="G64" s="104">
        <f t="shared" si="3"/>
        <v>34868.300000000047</v>
      </c>
      <c r="H64" s="81">
        <f t="shared" si="4"/>
        <v>19.832483796727367</v>
      </c>
    </row>
    <row r="65" spans="1:8" ht="20.100000000000001" customHeight="1">
      <c r="A65" s="7" t="s">
        <v>575</v>
      </c>
      <c r="B65" s="6">
        <v>1202</v>
      </c>
      <c r="C65" s="114">
        <f>'I. Фін результат'!C150</f>
        <v>0</v>
      </c>
      <c r="D65" s="114">
        <f>'I. Фін результат'!D150</f>
        <v>-14998</v>
      </c>
      <c r="E65" s="114">
        <f>'I. Фін результат'!E150</f>
        <v>0</v>
      </c>
      <c r="F65" s="114">
        <f>'I. Фін результат'!F150</f>
        <v>-14998</v>
      </c>
      <c r="G65" s="104">
        <f t="shared" si="3"/>
        <v>14998</v>
      </c>
      <c r="H65" s="81"/>
    </row>
    <row r="66" spans="1:8" ht="20.100000000000001" customHeight="1">
      <c r="A66" s="9" t="s">
        <v>32</v>
      </c>
      <c r="B66" s="134">
        <v>1210</v>
      </c>
      <c r="C66" s="163">
        <f>'I. Фін результат'!C151</f>
        <v>227407</v>
      </c>
      <c r="D66" s="163">
        <f>'I. Фін результат'!D151</f>
        <v>184486</v>
      </c>
      <c r="E66" s="163">
        <f>'I. Фін результат'!E151</f>
        <v>296756.30000000005</v>
      </c>
      <c r="F66" s="163">
        <f>'I. Фін результат'!F151</f>
        <v>184486</v>
      </c>
      <c r="G66" s="163">
        <f t="shared" si="3"/>
        <v>112270.30000000005</v>
      </c>
      <c r="H66" s="163">
        <f t="shared" si="4"/>
        <v>62.167509164927573</v>
      </c>
    </row>
    <row r="67" spans="1:8" ht="20.100000000000001" customHeight="1">
      <c r="A67" s="9" t="s">
        <v>118</v>
      </c>
      <c r="B67" s="134">
        <v>1220</v>
      </c>
      <c r="C67" s="163">
        <f>'I. Фін результат'!C152</f>
        <v>211088</v>
      </c>
      <c r="D67" s="163">
        <f>'I. Фін результат'!D152</f>
        <v>190858</v>
      </c>
      <c r="E67" s="163">
        <f>'I. Фін результат'!E152</f>
        <v>253261.99999999997</v>
      </c>
      <c r="F67" s="163">
        <f>'I. Фін результат'!F152</f>
        <v>190858</v>
      </c>
      <c r="G67" s="163">
        <f t="shared" si="3"/>
        <v>62403.999999999971</v>
      </c>
      <c r="H67" s="163">
        <f t="shared" si="4"/>
        <v>75.359903972960822</v>
      </c>
    </row>
    <row r="68" spans="1:8" ht="20.100000000000001" customHeight="1">
      <c r="A68" s="7" t="s">
        <v>225</v>
      </c>
      <c r="B68" s="6">
        <v>1230</v>
      </c>
      <c r="C68" s="114"/>
      <c r="D68" s="114"/>
      <c r="E68" s="114"/>
      <c r="F68" s="114"/>
      <c r="G68" s="104">
        <f t="shared" si="3"/>
        <v>0</v>
      </c>
      <c r="H68" s="81"/>
    </row>
    <row r="69" spans="1:8" ht="20.100000000000001" customHeight="1">
      <c r="A69" s="79" t="s">
        <v>192</v>
      </c>
      <c r="B69" s="6"/>
      <c r="C69" s="114"/>
      <c r="D69" s="165"/>
      <c r="E69" s="114"/>
      <c r="F69" s="114"/>
      <c r="G69" s="104">
        <f t="shared" si="3"/>
        <v>0</v>
      </c>
      <c r="H69" s="81"/>
    </row>
    <row r="70" spans="1:8" ht="20.100000000000001" customHeight="1">
      <c r="A70" s="7" t="s">
        <v>240</v>
      </c>
      <c r="B70" s="8">
        <v>1400</v>
      </c>
      <c r="C70" s="290">
        <f>'I. Фін результат'!C163</f>
        <v>24958</v>
      </c>
      <c r="D70" s="290">
        <f>'I. Фін результат'!D163</f>
        <v>23631</v>
      </c>
      <c r="E70" s="290">
        <f>'I. Фін результат'!E163</f>
        <v>33911.199999999997</v>
      </c>
      <c r="F70" s="290">
        <f>'I. Фін результат'!F163</f>
        <v>23631</v>
      </c>
      <c r="G70" s="290">
        <f t="shared" si="3"/>
        <v>10280.199999999997</v>
      </c>
      <c r="H70" s="81">
        <f t="shared" si="4"/>
        <v>69.684941848120985</v>
      </c>
    </row>
    <row r="71" spans="1:8" ht="20.100000000000001" customHeight="1">
      <c r="A71" s="109" t="s">
        <v>241</v>
      </c>
      <c r="B71" s="39">
        <v>1401</v>
      </c>
      <c r="C71" s="290">
        <f>'I. Фін результат'!C164</f>
        <v>8125.3999999999987</v>
      </c>
      <c r="D71" s="290">
        <f>'I. Фін результат'!D164</f>
        <v>5993.4</v>
      </c>
      <c r="E71" s="290">
        <f>'I. Фін результат'!E164</f>
        <v>8390.2999999999993</v>
      </c>
      <c r="F71" s="290">
        <f>'I. Фін результат'!F164</f>
        <v>5993.4</v>
      </c>
      <c r="G71" s="290">
        <f t="shared" si="3"/>
        <v>2396.8999999999996</v>
      </c>
      <c r="H71" s="81">
        <f t="shared" si="4"/>
        <v>71.432487515345102</v>
      </c>
    </row>
    <row r="72" spans="1:8" ht="20.100000000000001" customHeight="1">
      <c r="A72" s="109" t="s">
        <v>41</v>
      </c>
      <c r="B72" s="39">
        <v>1402</v>
      </c>
      <c r="C72" s="290">
        <f>'I. Фін результат'!C165</f>
        <v>16832.600000000002</v>
      </c>
      <c r="D72" s="290">
        <f>'I. Фін результат'!D165</f>
        <v>17637.599999999999</v>
      </c>
      <c r="E72" s="290">
        <f>'I. Фін результат'!E165</f>
        <v>25520.9</v>
      </c>
      <c r="F72" s="290">
        <f>'I. Фін результат'!F165</f>
        <v>17637.599999999999</v>
      </c>
      <c r="G72" s="290">
        <f t="shared" si="3"/>
        <v>7883.3000000000029</v>
      </c>
      <c r="H72" s="81">
        <f t="shared" si="4"/>
        <v>69.110415385037356</v>
      </c>
    </row>
    <row r="73" spans="1:8" ht="20.100000000000001" customHeight="1">
      <c r="A73" s="7" t="s">
        <v>18</v>
      </c>
      <c r="B73" s="12">
        <v>1410</v>
      </c>
      <c r="C73" s="290">
        <f>'I. Фін результат'!C166</f>
        <v>98970</v>
      </c>
      <c r="D73" s="290">
        <f>'I. Фін результат'!D166</f>
        <v>96262</v>
      </c>
      <c r="E73" s="290">
        <f>'I. Фін результат'!E166</f>
        <v>122489</v>
      </c>
      <c r="F73" s="290">
        <f>'I. Фін результат'!F166</f>
        <v>96262</v>
      </c>
      <c r="G73" s="290">
        <f t="shared" si="3"/>
        <v>26227</v>
      </c>
      <c r="H73" s="81">
        <f t="shared" si="4"/>
        <v>78.588281396696843</v>
      </c>
    </row>
    <row r="74" spans="1:8" ht="20.100000000000001" customHeight="1">
      <c r="A74" s="7" t="s">
        <v>19</v>
      </c>
      <c r="B74" s="12">
        <v>1420</v>
      </c>
      <c r="C74" s="290">
        <f>'I. Фін результат'!C167</f>
        <v>21857</v>
      </c>
      <c r="D74" s="290">
        <f>'I. Фін результат'!D167</f>
        <v>21239</v>
      </c>
      <c r="E74" s="290">
        <f>'I. Фін результат'!E167</f>
        <v>26947.599999999999</v>
      </c>
      <c r="F74" s="290">
        <f>'I. Фін результат'!F167</f>
        <v>21239</v>
      </c>
      <c r="G74" s="290">
        <f t="shared" si="3"/>
        <v>5708.5999999999985</v>
      </c>
      <c r="H74" s="81">
        <f t="shared" si="4"/>
        <v>78.815924238151084</v>
      </c>
    </row>
    <row r="75" spans="1:8" ht="20.100000000000001" customHeight="1">
      <c r="A75" s="7" t="s">
        <v>20</v>
      </c>
      <c r="B75" s="12">
        <v>1430</v>
      </c>
      <c r="C75" s="290">
        <f>'I. Фін результат'!C168</f>
        <v>12366</v>
      </c>
      <c r="D75" s="290">
        <f>'I. Фін результат'!D168</f>
        <v>13935</v>
      </c>
      <c r="E75" s="290">
        <f>'I. Фін результат'!E168</f>
        <v>12212.4</v>
      </c>
      <c r="F75" s="290">
        <f>'I. Фін результат'!F168</f>
        <v>13935</v>
      </c>
      <c r="G75" s="290">
        <f t="shared" si="3"/>
        <v>-1722.6000000000004</v>
      </c>
      <c r="H75" s="81">
        <f t="shared" si="4"/>
        <v>114.10533556057779</v>
      </c>
    </row>
    <row r="76" spans="1:8" ht="20.100000000000001" customHeight="1">
      <c r="A76" s="7" t="s">
        <v>42</v>
      </c>
      <c r="B76" s="12">
        <v>1440</v>
      </c>
      <c r="C76" s="290">
        <f>'I. Фін результат'!C169</f>
        <v>46753</v>
      </c>
      <c r="D76" s="290">
        <f>'I. Фін результат'!D169</f>
        <v>36132</v>
      </c>
      <c r="E76" s="290">
        <f>'I. Фін результат'!E169</f>
        <v>41316.9</v>
      </c>
      <c r="F76" s="290">
        <f>'I. Фін результат'!F169</f>
        <v>36132</v>
      </c>
      <c r="G76" s="290">
        <f t="shared" si="3"/>
        <v>5184.9000000000015</v>
      </c>
      <c r="H76" s="81">
        <f t="shared" si="4"/>
        <v>87.450897816631937</v>
      </c>
    </row>
    <row r="77" spans="1:8" ht="20.100000000000001" customHeight="1">
      <c r="A77" s="9" t="s">
        <v>63</v>
      </c>
      <c r="B77" s="258">
        <v>1450</v>
      </c>
      <c r="C77" s="163">
        <f>'I. Фін результат'!C170</f>
        <v>204904</v>
      </c>
      <c r="D77" s="163">
        <f>'I. Фін результат'!D170</f>
        <v>191199</v>
      </c>
      <c r="E77" s="163">
        <f>'I. Фін результат'!E170</f>
        <v>236877.1</v>
      </c>
      <c r="F77" s="163">
        <f>'I. Фін результат'!F170</f>
        <v>191199</v>
      </c>
      <c r="G77" s="163">
        <f t="shared" si="3"/>
        <v>45678.100000000006</v>
      </c>
      <c r="H77" s="163">
        <f t="shared" si="4"/>
        <v>80.716540349404823</v>
      </c>
    </row>
    <row r="78" spans="1:8" ht="20.100000000000001" customHeight="1">
      <c r="A78" s="320" t="s">
        <v>143</v>
      </c>
      <c r="B78" s="321"/>
      <c r="C78" s="321"/>
      <c r="D78" s="321"/>
      <c r="E78" s="321"/>
      <c r="F78" s="321"/>
      <c r="G78" s="321"/>
      <c r="H78" s="322"/>
    </row>
    <row r="79" spans="1:8" ht="20.100000000000001" customHeight="1">
      <c r="A79" s="323" t="s">
        <v>140</v>
      </c>
      <c r="B79" s="324"/>
      <c r="C79" s="324"/>
      <c r="D79" s="324"/>
      <c r="E79" s="324"/>
      <c r="F79" s="324"/>
      <c r="G79" s="324"/>
      <c r="H79" s="325"/>
    </row>
    <row r="80" spans="1:8" ht="37.5">
      <c r="A80" s="45" t="s">
        <v>65</v>
      </c>
      <c r="B80" s="5">
        <v>2000</v>
      </c>
      <c r="C80" s="114">
        <f>'ІІ. Розр. з бюджетом'!C8</f>
        <v>66581</v>
      </c>
      <c r="D80" s="114">
        <f>'ІІ. Розр. з бюджетом'!D8</f>
        <v>72536</v>
      </c>
      <c r="E80" s="114">
        <f>'ІІ. Розр. з бюджетом'!E8</f>
        <v>39984.9</v>
      </c>
      <c r="F80" s="114">
        <f>'ІІ. Розр. з бюджетом'!F8</f>
        <v>72536</v>
      </c>
      <c r="G80" s="104">
        <f t="shared" ref="G80:G90" si="5">-(F80-E80)</f>
        <v>-32551.1</v>
      </c>
      <c r="H80" s="104">
        <f t="shared" ref="H80:H90" si="6">F80/E80*100</f>
        <v>181.40848170184242</v>
      </c>
    </row>
    <row r="81" spans="1:8" ht="37.5">
      <c r="A81" s="45" t="s">
        <v>473</v>
      </c>
      <c r="B81" s="5">
        <v>2010</v>
      </c>
      <c r="C81" s="114">
        <f>'ІІ. Розр. з бюджетом'!C9</f>
        <v>-16371.000000000002</v>
      </c>
      <c r="D81" s="114">
        <f>'ІІ. Розр. з бюджетом'!D9</f>
        <v>0</v>
      </c>
      <c r="E81" s="114">
        <f>'ІІ. Розр. з бюджетом'!E9</f>
        <v>-32620.799999999999</v>
      </c>
      <c r="F81" s="114">
        <f>'ІІ. Розр. з бюджетом'!F9</f>
        <v>0</v>
      </c>
      <c r="G81" s="104">
        <f t="shared" si="5"/>
        <v>-32620.799999999999</v>
      </c>
      <c r="H81" s="104">
        <f t="shared" si="6"/>
        <v>0</v>
      </c>
    </row>
    <row r="82" spans="1:8" ht="37.5">
      <c r="A82" s="7" t="s">
        <v>167</v>
      </c>
      <c r="B82" s="5">
        <v>2011</v>
      </c>
      <c r="C82" s="114">
        <f>'ІІ. Розр. з бюджетом'!C10</f>
        <v>-16371.000000000002</v>
      </c>
      <c r="D82" s="114">
        <f>'ІІ. Розр. з бюджетом'!D10</f>
        <v>0</v>
      </c>
      <c r="E82" s="114">
        <f>'ІІ. Розр. з бюджетом'!E10</f>
        <v>-32620.799999999999</v>
      </c>
      <c r="F82" s="114">
        <f>'ІІ. Розр. з бюджетом'!F10</f>
        <v>0</v>
      </c>
      <c r="G82" s="104">
        <f t="shared" si="5"/>
        <v>-32620.799999999999</v>
      </c>
      <c r="H82" s="104">
        <f t="shared" si="6"/>
        <v>0</v>
      </c>
    </row>
    <row r="83" spans="1:8" ht="56.25">
      <c r="A83" s="7" t="s">
        <v>168</v>
      </c>
      <c r="B83" s="5">
        <v>2012</v>
      </c>
      <c r="C83" s="114">
        <f>'ІІ. Розр. з бюджетом'!C11</f>
        <v>0</v>
      </c>
      <c r="D83" s="114">
        <f>'ІІ. Розр. з бюджетом'!D11</f>
        <v>0</v>
      </c>
      <c r="E83" s="114">
        <f>'ІІ. Розр. з бюджетом'!E11</f>
        <v>0</v>
      </c>
      <c r="F83" s="114">
        <f>'ІІ. Розр. з бюджетом'!F11</f>
        <v>0</v>
      </c>
      <c r="G83" s="104">
        <f t="shared" si="5"/>
        <v>0</v>
      </c>
      <c r="H83" s="104"/>
    </row>
    <row r="84" spans="1:8" ht="20.100000000000001" customHeight="1">
      <c r="A84" s="106" t="s">
        <v>150</v>
      </c>
      <c r="B84" s="5" t="s">
        <v>179</v>
      </c>
      <c r="C84" s="178"/>
      <c r="D84" s="178"/>
      <c r="E84" s="178"/>
      <c r="F84" s="178"/>
      <c r="G84" s="104">
        <f t="shared" si="5"/>
        <v>0</v>
      </c>
      <c r="H84" s="104"/>
    </row>
    <row r="85" spans="1:8" ht="20.100000000000001" customHeight="1">
      <c r="A85" s="7" t="s">
        <v>159</v>
      </c>
      <c r="B85" s="5">
        <v>2020</v>
      </c>
      <c r="C85" s="114">
        <f>'ІІ. Розр. з бюджетом'!C13</f>
        <v>5507.5</v>
      </c>
      <c r="D85" s="114">
        <f>'ІІ. Розр. з бюджетом'!D13</f>
        <v>5816.3</v>
      </c>
      <c r="E85" s="114">
        <f>'ІІ. Розр. з бюджетом'!E13</f>
        <v>0</v>
      </c>
      <c r="F85" s="114">
        <f>'ІІ. Розр. з бюджетом'!F13</f>
        <v>5816.3</v>
      </c>
      <c r="G85" s="104">
        <f t="shared" si="5"/>
        <v>-5816.3</v>
      </c>
      <c r="H85" s="104"/>
    </row>
    <row r="86" spans="1:8" ht="20.100000000000001" customHeight="1">
      <c r="A86" s="45" t="s">
        <v>77</v>
      </c>
      <c r="B86" s="5">
        <v>2030</v>
      </c>
      <c r="C86" s="114">
        <f>'ІІ. Розр. з бюджетом'!C14</f>
        <v>0</v>
      </c>
      <c r="D86" s="114">
        <f>'ІІ. Розр. з бюджетом'!D14</f>
        <v>0</v>
      </c>
      <c r="E86" s="114">
        <f>'ІІ. Розр. з бюджетом'!E14</f>
        <v>-22046.2</v>
      </c>
      <c r="F86" s="114">
        <f>'ІІ. Розр. з бюджетом'!F14</f>
        <v>0</v>
      </c>
      <c r="G86" s="104">
        <f t="shared" si="5"/>
        <v>-22046.2</v>
      </c>
      <c r="H86" s="104">
        <f t="shared" si="6"/>
        <v>0</v>
      </c>
    </row>
    <row r="87" spans="1:8" ht="20.100000000000001" customHeight="1">
      <c r="A87" s="45" t="s">
        <v>40</v>
      </c>
      <c r="B87" s="5">
        <v>2040</v>
      </c>
      <c r="C87" s="114" t="str">
        <f>'ІІ. Розр. з бюджетом'!C16</f>
        <v>(    )</v>
      </c>
      <c r="D87" s="114" t="str">
        <f>'ІІ. Розр. з бюджетом'!D16</f>
        <v>(    )</v>
      </c>
      <c r="E87" s="114">
        <f>'ІІ. Розр. з бюджетом'!E16</f>
        <v>0</v>
      </c>
      <c r="F87" s="114" t="str">
        <f>'ІІ. Розр. з бюджетом'!F16</f>
        <v>(    )</v>
      </c>
      <c r="G87" s="104"/>
      <c r="H87" s="104"/>
    </row>
    <row r="88" spans="1:8" ht="20.100000000000001" customHeight="1">
      <c r="A88" s="45" t="s">
        <v>576</v>
      </c>
      <c r="B88" s="5">
        <v>2050</v>
      </c>
      <c r="C88" s="114">
        <f>'ІІ. Розр. з бюджетом'!C17</f>
        <v>0</v>
      </c>
      <c r="D88" s="114">
        <f>'ІІ. Розр. з бюджетом'!D17</f>
        <v>0</v>
      </c>
      <c r="E88" s="114">
        <f>'ІІ. Розр. з бюджетом'!E17</f>
        <v>-1270</v>
      </c>
      <c r="F88" s="114">
        <f>'ІІ. Розр. з бюджетом'!F17</f>
        <v>0</v>
      </c>
      <c r="G88" s="104">
        <f t="shared" si="5"/>
        <v>-1270</v>
      </c>
      <c r="H88" s="104">
        <f t="shared" si="6"/>
        <v>0</v>
      </c>
    </row>
    <row r="89" spans="1:8" ht="20.100000000000001" customHeight="1">
      <c r="A89" s="45" t="s">
        <v>577</v>
      </c>
      <c r="B89" s="5">
        <v>2060</v>
      </c>
      <c r="C89" s="114">
        <f>'ІІ. Розр. з бюджетом'!C18</f>
        <v>499.5</v>
      </c>
      <c r="D89" s="114">
        <f>'ІІ. Розр. з бюджетом'!D18</f>
        <v>-6387.3</v>
      </c>
      <c r="E89" s="114">
        <f>'ІІ. Розр. з бюджетом'!E18</f>
        <v>-2000</v>
      </c>
      <c r="F89" s="114">
        <f>'ІІ. Розр. з бюджетом'!F18</f>
        <v>-6387.3</v>
      </c>
      <c r="G89" s="104">
        <f t="shared" si="5"/>
        <v>4387.3</v>
      </c>
      <c r="H89" s="104">
        <f t="shared" si="6"/>
        <v>319.36500000000001</v>
      </c>
    </row>
    <row r="90" spans="1:8" ht="37.5">
      <c r="A90" s="69" t="s">
        <v>66</v>
      </c>
      <c r="B90" s="140">
        <v>2070</v>
      </c>
      <c r="C90" s="162">
        <f>'ІІ. Розр. з бюджетом'!C19</f>
        <v>72536</v>
      </c>
      <c r="D90" s="162">
        <f>'ІІ. Розр. з бюджетом'!D19</f>
        <v>65593</v>
      </c>
      <c r="E90" s="162">
        <f>'ІІ. Розр. з бюджетом'!E19</f>
        <v>25542.200000000048</v>
      </c>
      <c r="F90" s="162">
        <f>'ІІ. Розр. з бюджетом'!F19</f>
        <v>65593</v>
      </c>
      <c r="G90" s="115">
        <f t="shared" si="5"/>
        <v>-40050.799999999952</v>
      </c>
      <c r="H90" s="115">
        <f t="shared" si="6"/>
        <v>256.80246807244436</v>
      </c>
    </row>
    <row r="91" spans="1:8" ht="20.100000000000001" customHeight="1">
      <c r="A91" s="335" t="s">
        <v>578</v>
      </c>
      <c r="B91" s="336"/>
      <c r="C91" s="336"/>
      <c r="D91" s="336"/>
      <c r="E91" s="336"/>
      <c r="F91" s="336"/>
      <c r="G91" s="336"/>
      <c r="H91" s="337"/>
    </row>
    <row r="92" spans="1:8" ht="37.5">
      <c r="A92" s="142" t="s">
        <v>475</v>
      </c>
      <c r="B92" s="143">
        <v>2110</v>
      </c>
      <c r="C92" s="115">
        <f>'ІІ. Розр. з бюджетом'!C21</f>
        <v>83066.899999999994</v>
      </c>
      <c r="D92" s="115">
        <f>'ІІ. Розр. з бюджетом'!D21</f>
        <v>50679.5</v>
      </c>
      <c r="E92" s="115">
        <f>'ІІ. Розр. з бюджетом'!E21</f>
        <v>105853.80000000002</v>
      </c>
      <c r="F92" s="115">
        <f>'ІІ. Розр. з бюджетом'!F21</f>
        <v>50679.5</v>
      </c>
      <c r="G92" s="115">
        <f t="shared" ref="G92:G104" si="7">-(F92-E92)</f>
        <v>55174.300000000017</v>
      </c>
      <c r="H92" s="115">
        <f t="shared" ref="H92:H104" si="8">F92/E92*100</f>
        <v>47.87688302167706</v>
      </c>
    </row>
    <row r="93" spans="1:8">
      <c r="A93" s="45" t="s">
        <v>142</v>
      </c>
      <c r="B93" s="51">
        <v>2111</v>
      </c>
      <c r="C93" s="104">
        <f>'ІІ. Розр. з бюджетом'!C22</f>
        <v>17014.2</v>
      </c>
      <c r="D93" s="104">
        <f>'ІІ. Розр. з бюджетом'!D22</f>
        <v>841.5</v>
      </c>
      <c r="E93" s="104">
        <f>'ІІ. Розр. з бюджетом'!E22</f>
        <v>9547.5</v>
      </c>
      <c r="F93" s="104">
        <f>'ІІ. Розр. з бюджетом'!F22</f>
        <v>841.5</v>
      </c>
      <c r="G93" s="104">
        <f t="shared" si="7"/>
        <v>8706</v>
      </c>
      <c r="H93" s="104">
        <f t="shared" si="8"/>
        <v>8.8138256087981155</v>
      </c>
    </row>
    <row r="94" spans="1:8" ht="37.5">
      <c r="A94" s="45" t="s">
        <v>476</v>
      </c>
      <c r="B94" s="51">
        <v>2112</v>
      </c>
      <c r="C94" s="104">
        <f>'ІІ. Розр. з бюджетом'!C23</f>
        <v>24862.5</v>
      </c>
      <c r="D94" s="104">
        <f>'ІІ. Розр. з бюджетом'!D23</f>
        <v>24450.399999999998</v>
      </c>
      <c r="E94" s="104">
        <f>'ІІ. Розр. з бюджетом'!E23</f>
        <v>37925.800000000003</v>
      </c>
      <c r="F94" s="104">
        <f>'ІІ. Розр. з бюджетом'!F23</f>
        <v>24450.400000000001</v>
      </c>
      <c r="G94" s="104">
        <f t="shared" si="7"/>
        <v>13475.400000000001</v>
      </c>
      <c r="H94" s="104">
        <f t="shared" si="8"/>
        <v>64.469042182366621</v>
      </c>
    </row>
    <row r="95" spans="1:8" ht="37.5">
      <c r="A95" s="45" t="s">
        <v>477</v>
      </c>
      <c r="B95" s="51">
        <v>2113</v>
      </c>
      <c r="C95" s="104" t="str">
        <f>'ІІ. Розр. з бюджетом'!C24</f>
        <v>(    )</v>
      </c>
      <c r="D95" s="104" t="str">
        <f>'ІІ. Розр. з бюджетом'!D24</f>
        <v>(    )</v>
      </c>
      <c r="E95" s="104" t="str">
        <f>'ІІ. Розр. з бюджетом'!E24</f>
        <v>(    )</v>
      </c>
      <c r="F95" s="104" t="str">
        <f>'ІІ. Розр. з бюджетом'!F24</f>
        <v>(    )</v>
      </c>
      <c r="G95" s="104"/>
      <c r="H95" s="104"/>
    </row>
    <row r="96" spans="1:8">
      <c r="A96" s="7" t="s">
        <v>89</v>
      </c>
      <c r="B96" s="51">
        <v>2114</v>
      </c>
      <c r="C96" s="104">
        <f>'ІІ. Розр. з бюджетом'!C25</f>
        <v>0</v>
      </c>
      <c r="D96" s="104">
        <f>'ІІ. Розр. з бюджетом'!D25</f>
        <v>0</v>
      </c>
      <c r="E96" s="104">
        <f>'ІІ. Розр. з бюджетом'!E25</f>
        <v>0</v>
      </c>
      <c r="F96" s="104">
        <f>'ІІ. Розр. з бюджетом'!F25</f>
        <v>0</v>
      </c>
      <c r="G96" s="104">
        <f t="shared" si="7"/>
        <v>0</v>
      </c>
      <c r="H96" s="104"/>
    </row>
    <row r="97" spans="1:8" ht="37.5">
      <c r="A97" s="45" t="s">
        <v>478</v>
      </c>
      <c r="B97" s="51">
        <v>2115</v>
      </c>
      <c r="C97" s="104">
        <f>'ІІ. Розр. з бюджетом'!C26</f>
        <v>20437.599999999999</v>
      </c>
      <c r="D97" s="104">
        <f>'ІІ. Розр. з бюджетом'!D26</f>
        <v>4675</v>
      </c>
      <c r="E97" s="104">
        <f>'ІІ. Розр. з бюджетом'!E26</f>
        <v>32792.400000000001</v>
      </c>
      <c r="F97" s="104">
        <f>'ІІ. Розр. з бюджетом'!F26</f>
        <v>4675</v>
      </c>
      <c r="G97" s="104">
        <f t="shared" si="7"/>
        <v>28117.4</v>
      </c>
      <c r="H97" s="104">
        <f t="shared" si="8"/>
        <v>14.256352081579879</v>
      </c>
    </row>
    <row r="98" spans="1:8" ht="20.100000000000001" customHeight="1">
      <c r="A98" s="144" t="s">
        <v>104</v>
      </c>
      <c r="B98" s="51">
        <v>2116</v>
      </c>
      <c r="C98" s="104">
        <f>'ІІ. Розр. з бюджетом'!C27</f>
        <v>0</v>
      </c>
      <c r="D98" s="104">
        <f>'ІІ. Розр. з бюджетом'!D27</f>
        <v>0</v>
      </c>
      <c r="E98" s="104">
        <f>'ІІ. Розр. з бюджетом'!E27</f>
        <v>0</v>
      </c>
      <c r="F98" s="104">
        <f>'ІІ. Розр. з бюджетом'!F27</f>
        <v>0</v>
      </c>
      <c r="G98" s="104">
        <f t="shared" si="7"/>
        <v>0</v>
      </c>
      <c r="H98" s="104"/>
    </row>
    <row r="99" spans="1:8" ht="20.100000000000001" customHeight="1">
      <c r="A99" s="144" t="s">
        <v>479</v>
      </c>
      <c r="B99" s="51">
        <v>2117</v>
      </c>
      <c r="C99" s="104">
        <f>'ІІ. Розр. з бюджетом'!C28</f>
        <v>1512.9</v>
      </c>
      <c r="D99" s="104">
        <f>'ІІ. Розр. з бюджетом'!D28</f>
        <v>1471.3</v>
      </c>
      <c r="E99" s="104">
        <f>'ІІ. Розр. з бюджетом'!E28</f>
        <v>1702.6999999999998</v>
      </c>
      <c r="F99" s="104">
        <f>'ІІ. Розр. з бюджетом'!F28</f>
        <v>1471.3000000000002</v>
      </c>
      <c r="G99" s="104">
        <f t="shared" si="7"/>
        <v>231.39999999999964</v>
      </c>
      <c r="H99" s="104">
        <f t="shared" si="8"/>
        <v>86.409819698126526</v>
      </c>
    </row>
    <row r="100" spans="1:8" ht="37.5">
      <c r="A100" s="69" t="s">
        <v>483</v>
      </c>
      <c r="B100" s="57">
        <v>2120</v>
      </c>
      <c r="C100" s="115">
        <f>'ІІ. Розр. з бюджетом'!C33</f>
        <v>2900.4</v>
      </c>
      <c r="D100" s="115">
        <f>'ІІ. Розр. з бюджетом'!D33</f>
        <v>3081</v>
      </c>
      <c r="E100" s="115">
        <f>'ІІ. Розр. з бюджетом'!E33</f>
        <v>3346.4</v>
      </c>
      <c r="F100" s="115">
        <f>'ІІ. Розр. з бюджетом'!F33</f>
        <v>3081</v>
      </c>
      <c r="G100" s="115">
        <f t="shared" si="7"/>
        <v>265.40000000000009</v>
      </c>
      <c r="H100" s="115">
        <f t="shared" si="8"/>
        <v>92.069089170451818</v>
      </c>
    </row>
    <row r="101" spans="1:8" ht="37.5">
      <c r="A101" s="69" t="s">
        <v>490</v>
      </c>
      <c r="B101" s="57">
        <v>2130</v>
      </c>
      <c r="C101" s="115">
        <f>'ІІ. Розр. з бюджетом'!C42</f>
        <v>21722.100000000002</v>
      </c>
      <c r="D101" s="115">
        <f>'ІІ. Розр. з бюджетом'!D42</f>
        <v>21425.4</v>
      </c>
      <c r="E101" s="115">
        <f>'ІІ. Розр. з бюджетом'!E42</f>
        <v>26947.599999999999</v>
      </c>
      <c r="F101" s="115">
        <f>'ІІ. Розр. з бюджетом'!F42</f>
        <v>21425.4</v>
      </c>
      <c r="G101" s="115">
        <f t="shared" si="7"/>
        <v>5522.1999999999971</v>
      </c>
      <c r="H101" s="115">
        <f t="shared" si="8"/>
        <v>79.507637043744168</v>
      </c>
    </row>
    <row r="102" spans="1:8" ht="75">
      <c r="A102" s="45" t="s">
        <v>491</v>
      </c>
      <c r="B102" s="50">
        <v>2131</v>
      </c>
      <c r="C102" s="164">
        <f>'ІІ. Розр. з бюджетом'!C43</f>
        <v>0</v>
      </c>
      <c r="D102" s="164">
        <f>'ІІ. Розр. з бюджетом'!D43</f>
        <v>0</v>
      </c>
      <c r="E102" s="164">
        <f>'ІІ. Розр. з бюджетом'!E43</f>
        <v>0</v>
      </c>
      <c r="F102" s="164">
        <f>'ІІ. Розр. з бюджетом'!F43</f>
        <v>0</v>
      </c>
      <c r="G102" s="104">
        <f t="shared" si="7"/>
        <v>0</v>
      </c>
      <c r="H102" s="104"/>
    </row>
    <row r="103" spans="1:8" ht="37.5">
      <c r="A103" s="45" t="s">
        <v>493</v>
      </c>
      <c r="B103" s="50">
        <v>2133</v>
      </c>
      <c r="C103" s="164">
        <f>'ІІ. Розр. з бюджетом'!C45</f>
        <v>21722.100000000002</v>
      </c>
      <c r="D103" s="164">
        <f>'ІІ. Розр. з бюджетом'!D45</f>
        <v>21425.4</v>
      </c>
      <c r="E103" s="164">
        <f>'ІІ. Розр. з бюджетом'!E45</f>
        <v>26947.599999999999</v>
      </c>
      <c r="F103" s="164">
        <f>'ІІ. Розр. з бюджетом'!F45</f>
        <v>21425.4</v>
      </c>
      <c r="G103" s="104">
        <f t="shared" si="7"/>
        <v>5522.1999999999971</v>
      </c>
      <c r="H103" s="104">
        <f t="shared" si="8"/>
        <v>79.507637043744168</v>
      </c>
    </row>
    <row r="104" spans="1:8" ht="20.100000000000001" customHeight="1">
      <c r="A104" s="69" t="s">
        <v>230</v>
      </c>
      <c r="B104" s="57">
        <v>2200</v>
      </c>
      <c r="C104" s="162">
        <f>'ІІ. Розр. з бюджетом'!C53</f>
        <v>107689.4</v>
      </c>
      <c r="D104" s="162">
        <f>'ІІ. Розр. з бюджетом'!D53</f>
        <v>75185.899999999994</v>
      </c>
      <c r="E104" s="162">
        <f>'ІІ. Розр. з бюджетом'!E53</f>
        <v>136147.80000000002</v>
      </c>
      <c r="F104" s="162">
        <f>'ІІ. Розр. з бюджетом'!F53</f>
        <v>75185.899999999994</v>
      </c>
      <c r="G104" s="162">
        <f t="shared" si="7"/>
        <v>60961.900000000023</v>
      </c>
      <c r="H104" s="162">
        <f t="shared" si="8"/>
        <v>55.223734794098753</v>
      </c>
    </row>
    <row r="105" spans="1:8" ht="20.100000000000001" customHeight="1">
      <c r="A105" s="320" t="s">
        <v>141</v>
      </c>
      <c r="B105" s="321"/>
      <c r="C105" s="321"/>
      <c r="D105" s="321"/>
      <c r="E105" s="321"/>
      <c r="F105" s="321"/>
      <c r="G105" s="321"/>
      <c r="H105" s="322"/>
    </row>
    <row r="106" spans="1:8" ht="20.100000000000001" customHeight="1">
      <c r="A106" s="9" t="s">
        <v>545</v>
      </c>
      <c r="B106" s="5">
        <v>3405</v>
      </c>
      <c r="C106" s="114">
        <f>'ІІІ. Рух грош. коштів'!C99</f>
        <v>69646</v>
      </c>
      <c r="D106" s="114">
        <f>'ІІІ. Рух грош. коштів'!D99</f>
        <v>34051</v>
      </c>
      <c r="E106" s="114">
        <f>'ІІІ. Рух грош. коштів'!E99</f>
        <v>20215.2</v>
      </c>
      <c r="F106" s="114">
        <f>'ІІІ. Рух грош. коштів'!F99</f>
        <v>34051</v>
      </c>
      <c r="G106" s="104">
        <f>F106-E106</f>
        <v>13835.8</v>
      </c>
      <c r="H106" s="81">
        <f>F106/E106*100</f>
        <v>168.4425580751118</v>
      </c>
    </row>
    <row r="107" spans="1:8" ht="20.100000000000001" customHeight="1">
      <c r="A107" s="7" t="s">
        <v>579</v>
      </c>
      <c r="B107" s="5">
        <v>3030</v>
      </c>
      <c r="C107" s="114">
        <f>'ІІІ. Рух грош. коштів'!C13</f>
        <v>1482</v>
      </c>
      <c r="D107" s="114">
        <f>'ІІІ. Рух грош. коштів'!D13</f>
        <v>2039</v>
      </c>
      <c r="E107" s="114">
        <f>'ІІІ. Рух грош. коштів'!E13</f>
        <v>0</v>
      </c>
      <c r="F107" s="114">
        <f>'ІІІ. Рух грош. коштів'!F13</f>
        <v>2039</v>
      </c>
      <c r="G107" s="104">
        <f t="shared" ref="G107:G114" si="9">F107-E107</f>
        <v>2039</v>
      </c>
      <c r="H107" s="290"/>
    </row>
    <row r="108" spans="1:8" ht="20.100000000000001" customHeight="1">
      <c r="A108" s="80" t="s">
        <v>137</v>
      </c>
      <c r="B108" s="6">
        <f>'ІІІ. Рух грош. коштів'!B60</f>
        <v>3195</v>
      </c>
      <c r="C108" s="114">
        <f>'ІІІ. Рух грош. коштів'!C60</f>
        <v>-10377.300000000017</v>
      </c>
      <c r="D108" s="114">
        <f>'ІІІ. Рух грош. коштів'!D60</f>
        <v>-6862</v>
      </c>
      <c r="E108" s="114">
        <f>'ІІІ. Рух грош. коштів'!E60</f>
        <v>20709.200000000012</v>
      </c>
      <c r="F108" s="114">
        <f>'ІІІ. Рух грош. коштів'!F60</f>
        <v>-6862</v>
      </c>
      <c r="G108" s="104">
        <f t="shared" si="9"/>
        <v>-27571.200000000012</v>
      </c>
      <c r="H108" s="81">
        <f>F108/E108*100</f>
        <v>-33.135031773318119</v>
      </c>
    </row>
    <row r="109" spans="1:8" ht="20.100000000000001" customHeight="1">
      <c r="A109" s="80" t="s">
        <v>191</v>
      </c>
      <c r="B109" s="6">
        <f>'ІІІ. Рух грош. коштів'!B76</f>
        <v>3295</v>
      </c>
      <c r="C109" s="114">
        <f>'ІІІ. Рух грош. коштів'!C76</f>
        <v>-21753.699999999997</v>
      </c>
      <c r="D109" s="114">
        <f>'ІІІ. Рух грош. коштів'!D76</f>
        <v>-3088.9999999999995</v>
      </c>
      <c r="E109" s="114">
        <f>'ІІІ. Рух грош. коштів'!E76</f>
        <v>-41110.199999999997</v>
      </c>
      <c r="F109" s="114">
        <f>'ІІІ. Рух грош. коштів'!F76</f>
        <v>-3089</v>
      </c>
      <c r="G109" s="104">
        <f t="shared" si="9"/>
        <v>38021.199999999997</v>
      </c>
      <c r="H109" s="81">
        <f>F109/E109*100</f>
        <v>7.5139503091690152</v>
      </c>
    </row>
    <row r="110" spans="1:8" ht="20.100000000000001" customHeight="1">
      <c r="A110" s="80" t="s">
        <v>138</v>
      </c>
      <c r="B110" s="6">
        <f>'ІІІ. Рух грош. коштів'!B97</f>
        <v>3395</v>
      </c>
      <c r="C110" s="114">
        <f>'ІІІ. Рух грош. коштів'!C97</f>
        <v>-8000</v>
      </c>
      <c r="D110" s="114">
        <f>'ІІІ. Рух грош. коштів'!D97</f>
        <v>-2500</v>
      </c>
      <c r="E110" s="114">
        <f>'ІІІ. Рух грош. коштів'!E97</f>
        <v>-2500</v>
      </c>
      <c r="F110" s="114">
        <f>'ІІІ. Рух грош. коштів'!F97</f>
        <v>-2500</v>
      </c>
      <c r="G110" s="104">
        <f t="shared" si="9"/>
        <v>0</v>
      </c>
      <c r="H110" s="290">
        <f t="shared" ref="H110:H111" si="10">F110/E110*100</f>
        <v>100</v>
      </c>
    </row>
    <row r="111" spans="1:8" ht="20.100000000000001" customHeight="1">
      <c r="A111" s="80" t="s">
        <v>146</v>
      </c>
      <c r="B111" s="6">
        <f>'ІІІ. Рух грош. коштів'!B100</f>
        <v>3410</v>
      </c>
      <c r="C111" s="114">
        <f>'ІІІ. Рух грош. коштів'!C100</f>
        <v>4536</v>
      </c>
      <c r="D111" s="114">
        <f>'ІІІ. Рух грош. коштів'!D100</f>
        <v>-98.999999999999929</v>
      </c>
      <c r="E111" s="114">
        <f>'ІІІ. Рух грош. коштів'!E100</f>
        <v>4350</v>
      </c>
      <c r="F111" s="114">
        <f>'ІІІ. Рух грош. коштів'!F100</f>
        <v>-99</v>
      </c>
      <c r="G111" s="104">
        <f t="shared" si="9"/>
        <v>-4449</v>
      </c>
      <c r="H111" s="290">
        <f t="shared" si="10"/>
        <v>-2.2758620689655173</v>
      </c>
    </row>
    <row r="112" spans="1:8" ht="20.100000000000001" customHeight="1">
      <c r="A112" s="9" t="s">
        <v>546</v>
      </c>
      <c r="B112" s="134">
        <f>'ІІІ. Рух грош. коштів'!B101</f>
        <v>3415</v>
      </c>
      <c r="C112" s="162">
        <f>'ІІІ. Рух грош. коштів'!C101</f>
        <v>34050.999999999985</v>
      </c>
      <c r="D112" s="162">
        <f>'ІІІ. Рух грош. коштів'!D101</f>
        <v>21501</v>
      </c>
      <c r="E112" s="162">
        <f>'ІІІ. Рух грош. коштів'!E101</f>
        <v>1664.2000000000153</v>
      </c>
      <c r="F112" s="162">
        <f>'ІІІ. Рух грош. коштів'!F101</f>
        <v>21501</v>
      </c>
      <c r="G112" s="115">
        <f t="shared" si="9"/>
        <v>19836.799999999985</v>
      </c>
      <c r="H112" s="163">
        <f>F112/E112*100</f>
        <v>1291.972118735717</v>
      </c>
    </row>
    <row r="113" spans="1:8" ht="20.100000000000001" customHeight="1">
      <c r="A113" s="333" t="s">
        <v>172</v>
      </c>
      <c r="B113" s="334"/>
      <c r="C113" s="334"/>
      <c r="D113" s="334"/>
      <c r="E113" s="334"/>
      <c r="F113" s="334"/>
      <c r="G113" s="334"/>
      <c r="H113" s="334"/>
    </row>
    <row r="114" spans="1:8" ht="20.100000000000001" customHeight="1">
      <c r="A114" s="79" t="s">
        <v>580</v>
      </c>
      <c r="B114" s="140">
        <f>'IV. Кап. інвестиції'!B9</f>
        <v>4000</v>
      </c>
      <c r="C114" s="162">
        <f>'IV. Кап. інвестиції'!C9</f>
        <v>18722.3</v>
      </c>
      <c r="D114" s="162">
        <f>'IV. Кап. інвестиції'!D9</f>
        <v>7377.4</v>
      </c>
      <c r="E114" s="162">
        <f>'IV. Кап. інвестиції'!E9</f>
        <v>34258.6</v>
      </c>
      <c r="F114" s="162">
        <f>'IV. Кап. інвестиції'!F9</f>
        <v>7377.4</v>
      </c>
      <c r="G114" s="115">
        <f t="shared" si="9"/>
        <v>-26881.199999999997</v>
      </c>
      <c r="H114" s="163">
        <f>F114/E114*100</f>
        <v>21.534446825030795</v>
      </c>
    </row>
    <row r="115" spans="1:8" ht="20.100000000000001" customHeight="1">
      <c r="A115" s="7" t="s">
        <v>14</v>
      </c>
      <c r="B115" s="158" t="s">
        <v>180</v>
      </c>
      <c r="C115" s="114">
        <f>'IV. Кап. інвестиції'!C10</f>
        <v>737.7</v>
      </c>
      <c r="D115" s="114">
        <f>'IV. Кап. інвестиції'!D10</f>
        <v>0</v>
      </c>
      <c r="E115" s="114">
        <f>'IV. Кап. інвестиції'!E10</f>
        <v>0</v>
      </c>
      <c r="F115" s="114">
        <f>'IV. Кап. інвестиції'!F10</f>
        <v>0</v>
      </c>
      <c r="G115" s="104">
        <f t="shared" ref="G115:G125" si="11">F115-E115</f>
        <v>0</v>
      </c>
      <c r="H115" s="81"/>
    </row>
    <row r="116" spans="1:8" ht="20.100000000000001" customHeight="1">
      <c r="A116" s="7" t="s">
        <v>15</v>
      </c>
      <c r="B116" s="62">
        <v>4020</v>
      </c>
      <c r="C116" s="114">
        <f>'IV. Кап. інвестиції'!C11</f>
        <v>4422.5</v>
      </c>
      <c r="D116" s="114">
        <f>'IV. Кап. інвестиції'!D11</f>
        <v>2510.6999999999998</v>
      </c>
      <c r="E116" s="114">
        <f>'IV. Кап. інвестиції'!E11</f>
        <v>5140.2</v>
      </c>
      <c r="F116" s="114">
        <f>'IV. Кап. інвестиції'!F11</f>
        <v>2510.6999999999998</v>
      </c>
      <c r="G116" s="104">
        <f t="shared" si="11"/>
        <v>-2629.5</v>
      </c>
      <c r="H116" s="81">
        <f t="shared" ref="H116:H124" si="12">F116/E116*100</f>
        <v>48.844402941519782</v>
      </c>
    </row>
    <row r="117" spans="1:8" ht="37.5">
      <c r="A117" s="7" t="s">
        <v>43</v>
      </c>
      <c r="B117" s="63">
        <v>4030</v>
      </c>
      <c r="C117" s="114">
        <f>'IV. Кап. інвестиції'!C12</f>
        <v>1093</v>
      </c>
      <c r="D117" s="114">
        <f>'IV. Кап. інвестиції'!D12</f>
        <v>617.79999999999995</v>
      </c>
      <c r="E117" s="114">
        <f>'IV. Кап. інвестиції'!E12</f>
        <v>166.7</v>
      </c>
      <c r="F117" s="114">
        <f>'IV. Кап. інвестиції'!F12</f>
        <v>617.80000000000007</v>
      </c>
      <c r="G117" s="104">
        <f t="shared" si="11"/>
        <v>451.10000000000008</v>
      </c>
      <c r="H117" s="81">
        <f t="shared" si="12"/>
        <v>370.60587882423522</v>
      </c>
    </row>
    <row r="118" spans="1:8">
      <c r="A118" s="7" t="s">
        <v>16</v>
      </c>
      <c r="B118" s="62">
        <v>4040</v>
      </c>
      <c r="C118" s="114">
        <f>'IV. Кап. інвестиції'!C13</f>
        <v>0</v>
      </c>
      <c r="D118" s="114">
        <f>'IV. Кап. інвестиції'!D13</f>
        <v>151.20000000000002</v>
      </c>
      <c r="E118" s="114">
        <f>'IV. Кап. інвестиції'!E13</f>
        <v>0</v>
      </c>
      <c r="F118" s="114">
        <f>'IV. Кап. інвестиції'!F13</f>
        <v>151.20000000000002</v>
      </c>
      <c r="G118" s="104">
        <f t="shared" si="11"/>
        <v>151.20000000000002</v>
      </c>
      <c r="H118" s="81"/>
    </row>
    <row r="119" spans="1:8" ht="37.5">
      <c r="A119" s="7" t="s">
        <v>76</v>
      </c>
      <c r="B119" s="63">
        <v>4050</v>
      </c>
      <c r="C119" s="114">
        <f>'IV. Кап. інвестиції'!C14</f>
        <v>11991.6</v>
      </c>
      <c r="D119" s="114">
        <f>'IV. Кап. інвестиції'!D14</f>
        <v>4027.2</v>
      </c>
      <c r="E119" s="114">
        <f>'IV. Кап. інвестиції'!E14</f>
        <v>21101.7</v>
      </c>
      <c r="F119" s="114">
        <f>'IV. Кап. інвестиції'!F14</f>
        <v>4027.2000000000003</v>
      </c>
      <c r="G119" s="104">
        <f t="shared" si="11"/>
        <v>-17074.5</v>
      </c>
      <c r="H119" s="81">
        <f t="shared" si="12"/>
        <v>19.084718292838968</v>
      </c>
    </row>
    <row r="120" spans="1:8" ht="20.100000000000001" customHeight="1">
      <c r="A120" s="13" t="s">
        <v>547</v>
      </c>
      <c r="B120" s="63">
        <v>4060</v>
      </c>
      <c r="C120" s="114">
        <f>'IV. Кап. інвестиції'!C15</f>
        <v>477.5</v>
      </c>
      <c r="D120" s="114">
        <f>'IV. Кап. інвестиції'!D15</f>
        <v>70.5</v>
      </c>
      <c r="E120" s="114">
        <f>'IV. Кап. інвестиції'!E15</f>
        <v>7850</v>
      </c>
      <c r="F120" s="114">
        <f>'IV. Кап. інвестиції'!F15</f>
        <v>70.5</v>
      </c>
      <c r="G120" s="104">
        <f t="shared" si="11"/>
        <v>-7779.5</v>
      </c>
      <c r="H120" s="81">
        <f t="shared" si="12"/>
        <v>0.89808917197452232</v>
      </c>
    </row>
    <row r="121" spans="1:8" ht="20.100000000000001" customHeight="1">
      <c r="A121" s="160" t="s">
        <v>581</v>
      </c>
      <c r="B121" s="259">
        <v>4000</v>
      </c>
      <c r="C121" s="162">
        <f>C122+C123+C124+C125</f>
        <v>13814.2</v>
      </c>
      <c r="D121" s="162">
        <f>D122+D123+D124+D125</f>
        <v>7377.4</v>
      </c>
      <c r="E121" s="162">
        <f>E122+E123+E124+E125</f>
        <v>34258.6</v>
      </c>
      <c r="F121" s="162">
        <f>F122+F123+F124+F125</f>
        <v>7377.4</v>
      </c>
      <c r="G121" s="115">
        <f t="shared" si="11"/>
        <v>-26881.199999999997</v>
      </c>
      <c r="H121" s="163">
        <f t="shared" si="12"/>
        <v>21.534446825030795</v>
      </c>
    </row>
    <row r="122" spans="1:8" ht="20.100000000000001" customHeight="1">
      <c r="A122" s="13" t="s">
        <v>582</v>
      </c>
      <c r="B122" s="63" t="s">
        <v>585</v>
      </c>
      <c r="C122" s="114"/>
      <c r="D122" s="114"/>
      <c r="E122" s="114">
        <f>'6.2. Інша інфо_2'!M92</f>
        <v>0</v>
      </c>
      <c r="F122" s="114">
        <f>'6.2. Інша інфо_2'!N92</f>
        <v>0</v>
      </c>
      <c r="G122" s="104">
        <f t="shared" si="11"/>
        <v>0</v>
      </c>
      <c r="H122" s="81"/>
    </row>
    <row r="123" spans="1:8" ht="20.100000000000001" customHeight="1">
      <c r="A123" s="13" t="s">
        <v>583</v>
      </c>
      <c r="B123" s="63" t="s">
        <v>586</v>
      </c>
      <c r="C123" s="114"/>
      <c r="D123" s="114"/>
      <c r="E123" s="114">
        <f>'6.2. Інша інфо_2'!Q92</f>
        <v>0</v>
      </c>
      <c r="F123" s="114">
        <f>'6.2. Інша інфо_2'!R92</f>
        <v>0</v>
      </c>
      <c r="G123" s="104">
        <f t="shared" si="11"/>
        <v>0</v>
      </c>
      <c r="H123" s="81"/>
    </row>
    <row r="124" spans="1:8" ht="20.100000000000001" customHeight="1">
      <c r="A124" s="13" t="s">
        <v>250</v>
      </c>
      <c r="B124" s="63" t="s">
        <v>587</v>
      </c>
      <c r="C124" s="114">
        <v>13814.2</v>
      </c>
      <c r="D124" s="114">
        <f>52+812.5+4817.7+1695.2</f>
        <v>7377.4</v>
      </c>
      <c r="E124" s="114">
        <f>'6.2. Інша інфо_2'!U92</f>
        <v>34258.6</v>
      </c>
      <c r="F124" s="114">
        <f>'6.2. Інша інфо_2'!V92</f>
        <v>7377.4</v>
      </c>
      <c r="G124" s="104">
        <f t="shared" si="11"/>
        <v>-26881.199999999997</v>
      </c>
      <c r="H124" s="81">
        <f t="shared" si="12"/>
        <v>21.534446825030795</v>
      </c>
    </row>
    <row r="125" spans="1:8" ht="20.100000000000001" customHeight="1">
      <c r="A125" s="13" t="s">
        <v>584</v>
      </c>
      <c r="B125" s="63" t="s">
        <v>588</v>
      </c>
      <c r="C125" s="114"/>
      <c r="D125" s="114"/>
      <c r="E125" s="114">
        <f>'6.2. Інша інфо_2'!Y92</f>
        <v>0</v>
      </c>
      <c r="F125" s="114">
        <f>'6.2. Інша інфо_2'!Z92</f>
        <v>0</v>
      </c>
      <c r="G125" s="104">
        <f t="shared" si="11"/>
        <v>0</v>
      </c>
      <c r="H125" s="81"/>
    </row>
    <row r="126" spans="1:8" ht="20.100000000000001" customHeight="1">
      <c r="A126" s="338" t="s">
        <v>175</v>
      </c>
      <c r="B126" s="338"/>
      <c r="C126" s="338"/>
      <c r="D126" s="338"/>
      <c r="E126" s="338"/>
      <c r="F126" s="338"/>
      <c r="G126" s="338"/>
      <c r="H126" s="338"/>
    </row>
    <row r="127" spans="1:8" ht="20.100000000000001" customHeight="1">
      <c r="A127" s="80" t="s">
        <v>589</v>
      </c>
      <c r="B127" s="95">
        <v>5040</v>
      </c>
      <c r="C127" s="179">
        <f>' V. Коефіцієнти'!D13</f>
        <v>8.0330991843344961</v>
      </c>
      <c r="D127" s="179">
        <f>' V. Коефіцієнти'!E13</f>
        <v>-3.7411051877597989</v>
      </c>
      <c r="E127" s="85">
        <f>'I. Фін результат'!E54/'I. Фін результат'!E8*100</f>
        <v>27.660782862688006</v>
      </c>
      <c r="F127" s="179">
        <f>' V. Коефіцієнти'!G13</f>
        <v>-3.7411051877597989</v>
      </c>
      <c r="G127" s="111">
        <f>F127-E127</f>
        <v>-31.401888050447806</v>
      </c>
      <c r="H127" s="111">
        <f>F127/E127*100</f>
        <v>-13.524943261118704</v>
      </c>
    </row>
    <row r="128" spans="1:8" ht="20.100000000000001" customHeight="1">
      <c r="A128" s="80" t="s">
        <v>590</v>
      </c>
      <c r="B128" s="5">
        <f>' V. Коефіцієнти'!B11</f>
        <v>5020</v>
      </c>
      <c r="C128" s="105">
        <f>' V. Коефіцієнти'!D11</f>
        <v>5.9462906281883114</v>
      </c>
      <c r="D128" s="105">
        <f>' V. Коефіцієнти'!E11</f>
        <v>-2.4624754602649519</v>
      </c>
      <c r="E128" s="100">
        <f>E63/E139*100</f>
        <v>18.556514979629977</v>
      </c>
      <c r="F128" s="105">
        <f>' V. Коефіцієнти'!G11</f>
        <v>-2.4624754602649519</v>
      </c>
      <c r="G128" s="111">
        <f>F128-E128</f>
        <v>-21.018990439894928</v>
      </c>
      <c r="H128" s="111">
        <f>F128/E128*100</f>
        <v>-13.270139694700662</v>
      </c>
    </row>
    <row r="129" spans="1:8" ht="20.100000000000001" customHeight="1">
      <c r="A129" s="80" t="s">
        <v>591</v>
      </c>
      <c r="B129" s="5">
        <f>' V. Коефіцієнти'!B12</f>
        <v>5030</v>
      </c>
      <c r="C129" s="105">
        <f>' V. Коефіцієнти'!D12</f>
        <v>6.4725830441249386</v>
      </c>
      <c r="D129" s="105">
        <f>' V. Коефіцієнти'!E12</f>
        <v>-2.6598986466742915</v>
      </c>
      <c r="E129" s="100">
        <f>E63/E145*100</f>
        <v>21.153045562336246</v>
      </c>
      <c r="F129" s="105">
        <f>' V. Коефіцієнти'!G12</f>
        <v>-2.6598986466742915</v>
      </c>
      <c r="G129" s="111">
        <f>F129-E129</f>
        <v>-23.812944209010539</v>
      </c>
      <c r="H129" s="111">
        <f>F129/E129*100</f>
        <v>-12.574542227670213</v>
      </c>
    </row>
    <row r="130" spans="1:8" ht="20.100000000000001" customHeight="1">
      <c r="A130" s="80" t="s">
        <v>190</v>
      </c>
      <c r="B130" s="5">
        <f>' V. Коефіцієнти'!B16</f>
        <v>5110</v>
      </c>
      <c r="C130" s="105">
        <f>' V. Коефіцієнти'!D16</f>
        <v>11.298453954738966</v>
      </c>
      <c r="D130" s="105">
        <f>' V. Коефіцієнти'!E16</f>
        <v>12.473081328751432</v>
      </c>
      <c r="E130" s="100">
        <f>E145/(E140+E141)</f>
        <v>7.1466575834778654</v>
      </c>
      <c r="F130" s="105">
        <f>' V. Коефіцієнти'!G16</f>
        <v>12.473081328751432</v>
      </c>
      <c r="G130" s="111">
        <f>F130-E130</f>
        <v>5.3264237452735665</v>
      </c>
      <c r="H130" s="111">
        <f>F130/E130*100</f>
        <v>174.53027772853648</v>
      </c>
    </row>
    <row r="131" spans="1:8" ht="20.100000000000001" customHeight="1">
      <c r="A131" s="80" t="s">
        <v>592</v>
      </c>
      <c r="B131" s="154">
        <v>5220</v>
      </c>
      <c r="C131" s="105">
        <f>' V. Коефіцієнти'!D21</f>
        <v>0.90368498016105492</v>
      </c>
      <c r="D131" s="105">
        <f>' V. Коефіцієнти'!E21</f>
        <v>0.906593717292559</v>
      </c>
      <c r="E131" s="100">
        <f>E136/E135</f>
        <v>0.90877392912957067</v>
      </c>
      <c r="F131" s="105">
        <f>' V. Коефіцієнти'!G21</f>
        <v>0.906593717292559</v>
      </c>
      <c r="G131" s="111">
        <f>F131-E131</f>
        <v>-2.1802118370116697E-3</v>
      </c>
      <c r="H131" s="111">
        <f>F131/E131*100</f>
        <v>99.760093047662593</v>
      </c>
    </row>
    <row r="132" spans="1:8" ht="20.100000000000001" customHeight="1">
      <c r="A132" s="320" t="s">
        <v>174</v>
      </c>
      <c r="B132" s="321"/>
      <c r="C132" s="321"/>
      <c r="D132" s="321"/>
      <c r="E132" s="321"/>
      <c r="F132" s="321"/>
      <c r="G132" s="321"/>
      <c r="H132" s="322"/>
    </row>
    <row r="133" spans="1:8" ht="20.100000000000001" customHeight="1">
      <c r="A133" s="80" t="s">
        <v>593</v>
      </c>
      <c r="B133" s="5">
        <v>6000</v>
      </c>
      <c r="C133" s="81">
        <v>201558</v>
      </c>
      <c r="D133" s="81">
        <f>F133</f>
        <v>197721</v>
      </c>
      <c r="E133" s="81">
        <v>184095.5</v>
      </c>
      <c r="F133" s="81">
        <v>197721</v>
      </c>
      <c r="G133" s="100">
        <f t="shared" ref="G133:G145" si="13">F133-E133</f>
        <v>13625.5</v>
      </c>
      <c r="H133" s="100">
        <f>F133/E133*100</f>
        <v>107.40132159667128</v>
      </c>
    </row>
    <row r="134" spans="1:8" ht="20.100000000000001" customHeight="1">
      <c r="A134" s="80" t="s">
        <v>594</v>
      </c>
      <c r="B134" s="5">
        <v>6001</v>
      </c>
      <c r="C134" s="81">
        <f>C135-C136</f>
        <v>186596</v>
      </c>
      <c r="D134" s="81">
        <f>D135-D136</f>
        <v>181701</v>
      </c>
      <c r="E134" s="81">
        <f>E135-E136</f>
        <v>176095.5</v>
      </c>
      <c r="F134" s="81">
        <f>F135-F136</f>
        <v>181701</v>
      </c>
      <c r="G134" s="100">
        <f>F134-E134</f>
        <v>5605.5</v>
      </c>
      <c r="H134" s="100">
        <f>F134/E134*100</f>
        <v>103.18321592544955</v>
      </c>
    </row>
    <row r="135" spans="1:8" ht="20.100000000000001" customHeight="1">
      <c r="A135" s="180" t="s">
        <v>595</v>
      </c>
      <c r="B135" s="5">
        <v>6002</v>
      </c>
      <c r="C135" s="81">
        <v>1937351</v>
      </c>
      <c r="D135" s="81">
        <f>F135</f>
        <v>1945276</v>
      </c>
      <c r="E135" s="81">
        <v>1930319.9</v>
      </c>
      <c r="F135" s="81">
        <v>1945276</v>
      </c>
      <c r="G135" s="100">
        <f>F135-E135</f>
        <v>14956.100000000093</v>
      </c>
      <c r="H135" s="100">
        <f>F135/E135*100</f>
        <v>100.77479903719586</v>
      </c>
    </row>
    <row r="136" spans="1:8" ht="20.100000000000001" customHeight="1">
      <c r="A136" s="180" t="s">
        <v>596</v>
      </c>
      <c r="B136" s="5">
        <v>6003</v>
      </c>
      <c r="C136" s="81">
        <v>1750755</v>
      </c>
      <c r="D136" s="270">
        <f t="shared" ref="D136:D137" si="14">F136</f>
        <v>1763575</v>
      </c>
      <c r="E136" s="81">
        <v>1754224.4</v>
      </c>
      <c r="F136" s="81">
        <v>1763575</v>
      </c>
      <c r="G136" s="100">
        <f>F136-E136</f>
        <v>9350.6000000000931</v>
      </c>
      <c r="H136" s="100">
        <f>F136/E136*100</f>
        <v>100.53303328810156</v>
      </c>
    </row>
    <row r="137" spans="1:8" ht="20.100000000000001" customHeight="1">
      <c r="A137" s="80" t="s">
        <v>597</v>
      </c>
      <c r="B137" s="5">
        <v>6010</v>
      </c>
      <c r="C137" s="81">
        <v>72882</v>
      </c>
      <c r="D137" s="270">
        <f t="shared" si="14"/>
        <v>61043</v>
      </c>
      <c r="E137" s="81">
        <v>50292.800000000003</v>
      </c>
      <c r="F137" s="81">
        <v>61043</v>
      </c>
      <c r="G137" s="100">
        <f t="shared" si="13"/>
        <v>10750.199999999997</v>
      </c>
      <c r="H137" s="100">
        <f t="shared" ref="H137:H142" si="15">F137/E137*100</f>
        <v>121.37522667260521</v>
      </c>
    </row>
    <row r="138" spans="1:8" ht="20.100000000000001" customHeight="1">
      <c r="A138" s="80" t="s">
        <v>598</v>
      </c>
      <c r="B138" s="5">
        <v>6011</v>
      </c>
      <c r="C138" s="81">
        <f>C112</f>
        <v>34050.999999999985</v>
      </c>
      <c r="D138" s="81">
        <f>F138</f>
        <v>21501</v>
      </c>
      <c r="E138" s="81">
        <f>'ІІІ. Рух грош. коштів'!E101</f>
        <v>1664.2000000000153</v>
      </c>
      <c r="F138" s="81">
        <v>21501</v>
      </c>
      <c r="G138" s="100">
        <f t="shared" si="13"/>
        <v>19836.799999999985</v>
      </c>
      <c r="H138" s="100">
        <f t="shared" si="15"/>
        <v>1291.972118735717</v>
      </c>
    </row>
    <row r="139" spans="1:8" s="4" customFormat="1" ht="20.100000000000001" customHeight="1">
      <c r="A139" s="79" t="s">
        <v>231</v>
      </c>
      <c r="B139" s="5">
        <v>6020</v>
      </c>
      <c r="C139" s="163">
        <f>C133+C137</f>
        <v>274440</v>
      </c>
      <c r="D139" s="163">
        <f>D133+D137</f>
        <v>258764</v>
      </c>
      <c r="E139" s="163">
        <f>E133+E137</f>
        <v>234388.3</v>
      </c>
      <c r="F139" s="163">
        <f>F133+F137</f>
        <v>258764</v>
      </c>
      <c r="G139" s="100">
        <f t="shared" si="13"/>
        <v>24375.700000000012</v>
      </c>
      <c r="H139" s="100">
        <f t="shared" si="15"/>
        <v>110.39970851787398</v>
      </c>
    </row>
    <row r="140" spans="1:8" ht="20.100000000000001" customHeight="1">
      <c r="A140" s="80" t="s">
        <v>147</v>
      </c>
      <c r="B140" s="5">
        <v>6030</v>
      </c>
      <c r="C140" s="81">
        <v>3968</v>
      </c>
      <c r="D140" s="81">
        <f>F140</f>
        <v>3683</v>
      </c>
      <c r="E140" s="81">
        <v>3200</v>
      </c>
      <c r="F140" s="81">
        <v>3683</v>
      </c>
      <c r="G140" s="100">
        <f t="shared" si="13"/>
        <v>483</v>
      </c>
      <c r="H140" s="100">
        <f t="shared" si="15"/>
        <v>115.09375</v>
      </c>
    </row>
    <row r="141" spans="1:8" ht="20.100000000000001" customHeight="1">
      <c r="A141" s="80" t="s">
        <v>148</v>
      </c>
      <c r="B141" s="5">
        <v>6040</v>
      </c>
      <c r="C141" s="81">
        <v>18347</v>
      </c>
      <c r="D141" s="81">
        <f>F141</f>
        <v>15523</v>
      </c>
      <c r="E141" s="81">
        <v>25571.1</v>
      </c>
      <c r="F141" s="81">
        <v>15523</v>
      </c>
      <c r="G141" s="100">
        <f t="shared" si="13"/>
        <v>-10048.099999999999</v>
      </c>
      <c r="H141" s="100">
        <f t="shared" si="15"/>
        <v>60.705249285326012</v>
      </c>
    </row>
    <row r="142" spans="1:8" s="4" customFormat="1" ht="20.100000000000001" customHeight="1">
      <c r="A142" s="79" t="s">
        <v>232</v>
      </c>
      <c r="B142" s="5">
        <v>6050</v>
      </c>
      <c r="C142" s="163">
        <f>SUM(C140:C141)</f>
        <v>22315</v>
      </c>
      <c r="D142" s="163">
        <f>SUM(D140:D141)</f>
        <v>19206</v>
      </c>
      <c r="E142" s="163">
        <f>SUM(E140:E141)</f>
        <v>28771.1</v>
      </c>
      <c r="F142" s="163">
        <f>SUM(F140:F141)</f>
        <v>19206</v>
      </c>
      <c r="G142" s="100">
        <f t="shared" si="13"/>
        <v>-9565.0999999999985</v>
      </c>
      <c r="H142" s="100">
        <f t="shared" si="15"/>
        <v>66.754486272683351</v>
      </c>
    </row>
    <row r="143" spans="1:8" ht="20.100000000000001" customHeight="1">
      <c r="A143" s="117" t="s">
        <v>233</v>
      </c>
      <c r="B143" s="5">
        <v>6060</v>
      </c>
      <c r="C143" s="81"/>
      <c r="D143" s="81"/>
      <c r="E143" s="81"/>
      <c r="F143" s="81"/>
      <c r="G143" s="100">
        <f t="shared" si="13"/>
        <v>0</v>
      </c>
      <c r="H143" s="100"/>
    </row>
    <row r="144" spans="1:8" ht="20.100000000000001" customHeight="1">
      <c r="A144" s="117" t="s">
        <v>234</v>
      </c>
      <c r="B144" s="5">
        <v>6070</v>
      </c>
      <c r="C144" s="81"/>
      <c r="D144" s="81"/>
      <c r="E144" s="81"/>
      <c r="F144" s="81"/>
      <c r="G144" s="100">
        <f t="shared" si="13"/>
        <v>0</v>
      </c>
      <c r="H144" s="100"/>
    </row>
    <row r="145" spans="1:8" s="4" customFormat="1" ht="20.100000000000001" customHeight="1">
      <c r="A145" s="79" t="s">
        <v>139</v>
      </c>
      <c r="B145" s="5">
        <v>6080</v>
      </c>
      <c r="C145" s="163">
        <v>252125</v>
      </c>
      <c r="D145" s="163">
        <f>F145</f>
        <v>239558</v>
      </c>
      <c r="E145" s="163">
        <v>205617.2</v>
      </c>
      <c r="F145" s="163">
        <v>239558</v>
      </c>
      <c r="G145" s="100">
        <f t="shared" si="13"/>
        <v>33940.799999999988</v>
      </c>
      <c r="H145" s="100">
        <f>F145/E145*100</f>
        <v>116.50679028797202</v>
      </c>
    </row>
    <row r="146" spans="1:8" ht="20.100000000000001" customHeight="1">
      <c r="A146" s="320" t="s">
        <v>599</v>
      </c>
      <c r="B146" s="321"/>
      <c r="C146" s="321"/>
      <c r="D146" s="321"/>
      <c r="E146" s="321"/>
      <c r="F146" s="321"/>
      <c r="G146" s="321"/>
      <c r="H146" s="322"/>
    </row>
    <row r="147" spans="1:8" ht="20.100000000000001" customHeight="1">
      <c r="A147" s="9" t="s">
        <v>600</v>
      </c>
      <c r="B147" s="6">
        <v>7000</v>
      </c>
      <c r="C147" s="115">
        <f>C148+C149+C150</f>
        <v>0</v>
      </c>
      <c r="D147" s="115">
        <f>D148+D149+D150</f>
        <v>0</v>
      </c>
      <c r="E147" s="115">
        <f>E148+E149+E150</f>
        <v>0</v>
      </c>
      <c r="F147" s="115">
        <f>F148+F149+F150</f>
        <v>0</v>
      </c>
      <c r="G147" s="100">
        <f t="shared" ref="G147:G154" si="16">F147-E147</f>
        <v>0</v>
      </c>
      <c r="H147" s="100"/>
    </row>
    <row r="148" spans="1:8" ht="20.100000000000001" customHeight="1">
      <c r="A148" s="109" t="s">
        <v>601</v>
      </c>
      <c r="B148" s="6">
        <v>7001</v>
      </c>
      <c r="C148" s="134"/>
      <c r="D148" s="134"/>
      <c r="E148" s="134"/>
      <c r="F148" s="134"/>
      <c r="G148" s="100">
        <f t="shared" si="16"/>
        <v>0</v>
      </c>
      <c r="H148" s="100"/>
    </row>
    <row r="149" spans="1:8" ht="20.100000000000001" customHeight="1">
      <c r="A149" s="109" t="s">
        <v>602</v>
      </c>
      <c r="B149" s="6">
        <v>7002</v>
      </c>
      <c r="C149" s="134"/>
      <c r="D149" s="134"/>
      <c r="E149" s="134"/>
      <c r="F149" s="134"/>
      <c r="G149" s="100">
        <f t="shared" si="16"/>
        <v>0</v>
      </c>
      <c r="H149" s="100"/>
    </row>
    <row r="150" spans="1:8" ht="20.100000000000001" customHeight="1">
      <c r="A150" s="109" t="s">
        <v>603</v>
      </c>
      <c r="B150" s="6">
        <v>7003</v>
      </c>
      <c r="C150" s="134"/>
      <c r="D150" s="134"/>
      <c r="E150" s="134"/>
      <c r="F150" s="134"/>
      <c r="G150" s="100">
        <f t="shared" si="16"/>
        <v>0</v>
      </c>
      <c r="H150" s="100"/>
    </row>
    <row r="151" spans="1:8" ht="20.100000000000001" customHeight="1">
      <c r="A151" s="9" t="s">
        <v>604</v>
      </c>
      <c r="B151" s="6">
        <v>7010</v>
      </c>
      <c r="C151" s="115">
        <f>C152+C153+C154</f>
        <v>0</v>
      </c>
      <c r="D151" s="115">
        <f>D152+D153+D154</f>
        <v>0</v>
      </c>
      <c r="E151" s="115">
        <f>E152+E153+E154</f>
        <v>0</v>
      </c>
      <c r="F151" s="115">
        <f>F152+F153+F154</f>
        <v>0</v>
      </c>
      <c r="G151" s="100">
        <f t="shared" si="16"/>
        <v>0</v>
      </c>
      <c r="H151" s="100"/>
    </row>
    <row r="152" spans="1:8" ht="20.100000000000001" customHeight="1">
      <c r="A152" s="109" t="s">
        <v>601</v>
      </c>
      <c r="B152" s="6">
        <v>7011</v>
      </c>
      <c r="C152" s="134"/>
      <c r="D152" s="134"/>
      <c r="E152" s="134"/>
      <c r="F152" s="134"/>
      <c r="G152" s="100">
        <f t="shared" si="16"/>
        <v>0</v>
      </c>
      <c r="H152" s="100"/>
    </row>
    <row r="153" spans="1:8" s="4" customFormat="1" ht="20.100000000000001" customHeight="1">
      <c r="A153" s="109" t="s">
        <v>602</v>
      </c>
      <c r="B153" s="5">
        <v>7012</v>
      </c>
      <c r="C153" s="5"/>
      <c r="D153" s="5"/>
      <c r="E153" s="5"/>
      <c r="F153" s="5"/>
      <c r="G153" s="100">
        <f t="shared" si="16"/>
        <v>0</v>
      </c>
      <c r="H153" s="100"/>
    </row>
    <row r="154" spans="1:8" ht="20.100000000000001" customHeight="1">
      <c r="A154" s="109" t="s">
        <v>603</v>
      </c>
      <c r="B154" s="5">
        <v>7013</v>
      </c>
      <c r="C154" s="5"/>
      <c r="D154" s="5"/>
      <c r="E154" s="5"/>
      <c r="F154" s="5"/>
      <c r="G154" s="100">
        <f t="shared" si="16"/>
        <v>0</v>
      </c>
      <c r="H154" s="100"/>
    </row>
    <row r="155" spans="1:8" ht="20.100000000000001" customHeight="1">
      <c r="A155" s="320" t="s">
        <v>605</v>
      </c>
      <c r="B155" s="321"/>
      <c r="C155" s="321"/>
      <c r="D155" s="321"/>
      <c r="E155" s="321"/>
      <c r="F155" s="321"/>
      <c r="G155" s="321"/>
      <c r="H155" s="322"/>
    </row>
    <row r="156" spans="1:8" ht="54.75" customHeight="1">
      <c r="A156" s="159" t="s">
        <v>9</v>
      </c>
      <c r="B156" s="134">
        <v>8000</v>
      </c>
      <c r="C156" s="274">
        <f>C157+C158+C159</f>
        <v>715</v>
      </c>
      <c r="D156" s="274">
        <f>D157+D158+D159</f>
        <v>716</v>
      </c>
      <c r="E156" s="140">
        <f>'6.1. Інша інфо_1'!F21</f>
        <v>728</v>
      </c>
      <c r="F156" s="140">
        <f>'6.1. Інша інфо_1'!H21</f>
        <v>716</v>
      </c>
      <c r="G156" s="140">
        <f>F156-E156</f>
        <v>-12</v>
      </c>
      <c r="H156" s="188">
        <f>F156/E156*100</f>
        <v>98.35164835164835</v>
      </c>
    </row>
    <row r="157" spans="1:8" ht="20.100000000000001" customHeight="1">
      <c r="A157" s="10" t="s">
        <v>246</v>
      </c>
      <c r="B157" s="6">
        <v>8001</v>
      </c>
      <c r="C157" s="278">
        <v>1</v>
      </c>
      <c r="D157" s="275">
        <f>'6.1. Інша інфо_1'!H22</f>
        <v>1</v>
      </c>
      <c r="E157" s="5">
        <f>'6.1. Інша інфо_1'!F22</f>
        <v>1</v>
      </c>
      <c r="F157" s="5">
        <f>'6.1. Інша інфо_1'!H22</f>
        <v>1</v>
      </c>
      <c r="G157" s="5">
        <f t="shared" ref="G157:G164" si="17">F157-E157</f>
        <v>0</v>
      </c>
      <c r="H157" s="130">
        <f t="shared" ref="H157:H164" si="18">F157/E157*100</f>
        <v>100</v>
      </c>
    </row>
    <row r="158" spans="1:8" ht="20.100000000000001" customHeight="1">
      <c r="A158" s="10" t="s">
        <v>245</v>
      </c>
      <c r="B158" s="6">
        <v>8002</v>
      </c>
      <c r="C158" s="278">
        <v>70</v>
      </c>
      <c r="D158" s="275">
        <f>'6.1. Інша інфо_1'!H23</f>
        <v>67</v>
      </c>
      <c r="E158" s="5">
        <f>'6.1. Інша інфо_1'!F23</f>
        <v>71</v>
      </c>
      <c r="F158" s="5">
        <f>'6.1. Інша інфо_1'!H23</f>
        <v>67</v>
      </c>
      <c r="G158" s="5">
        <f t="shared" si="17"/>
        <v>-4</v>
      </c>
      <c r="H158" s="130">
        <f t="shared" si="18"/>
        <v>94.366197183098592</v>
      </c>
    </row>
    <row r="159" spans="1:8" ht="20.100000000000001" customHeight="1">
      <c r="A159" s="10" t="s">
        <v>247</v>
      </c>
      <c r="B159" s="6">
        <v>8003</v>
      </c>
      <c r="C159" s="278">
        <v>644</v>
      </c>
      <c r="D159" s="275">
        <f>'6.1. Інша інфо_1'!H24</f>
        <v>648</v>
      </c>
      <c r="E159" s="5">
        <f>'6.1. Інша інфо_1'!F24</f>
        <v>656</v>
      </c>
      <c r="F159" s="5">
        <f>'6.1. Інша інфо_1'!H24</f>
        <v>648</v>
      </c>
      <c r="G159" s="5">
        <f t="shared" si="17"/>
        <v>-8</v>
      </c>
      <c r="H159" s="130">
        <f t="shared" si="18"/>
        <v>98.780487804878049</v>
      </c>
    </row>
    <row r="160" spans="1:8" ht="20.100000000000001" customHeight="1">
      <c r="A160" s="9" t="s">
        <v>18</v>
      </c>
      <c r="B160" s="140">
        <v>8010</v>
      </c>
      <c r="C160" s="279">
        <v>98970</v>
      </c>
      <c r="D160" s="276">
        <f>'6.1. Інша інфо_1'!H29</f>
        <v>96262</v>
      </c>
      <c r="E160" s="188">
        <f>'6.1. Інша інфо_1'!F29</f>
        <v>122489</v>
      </c>
      <c r="F160" s="188">
        <f>'6.1. Інша інфо_1'!H29</f>
        <v>96262</v>
      </c>
      <c r="G160" s="140">
        <f t="shared" si="17"/>
        <v>-26227</v>
      </c>
      <c r="H160" s="188">
        <f t="shared" si="18"/>
        <v>78.588281396696843</v>
      </c>
    </row>
    <row r="161" spans="1:8" ht="33.75" customHeight="1">
      <c r="A161" s="159" t="s">
        <v>10</v>
      </c>
      <c r="B161" s="134">
        <v>8020</v>
      </c>
      <c r="C161" s="280">
        <f>C160/C156/12*1000</f>
        <v>11534.965034965035</v>
      </c>
      <c r="D161" s="276">
        <f>'6.1. Інша інфо_1'!H33</f>
        <v>11203.68</v>
      </c>
      <c r="E161" s="140">
        <f>'6.1. Інша інфо_1'!F33</f>
        <v>14021.2</v>
      </c>
      <c r="F161" s="188">
        <f>'6.1. Інша інфо_1'!H33</f>
        <v>11203.68</v>
      </c>
      <c r="G161" s="140">
        <f t="shared" si="17"/>
        <v>-2817.5200000000004</v>
      </c>
      <c r="H161" s="188">
        <f t="shared" si="18"/>
        <v>79.905286280774817</v>
      </c>
    </row>
    <row r="162" spans="1:8" ht="20.100000000000001" customHeight="1">
      <c r="A162" s="10" t="s">
        <v>246</v>
      </c>
      <c r="B162" s="6">
        <v>8021</v>
      </c>
      <c r="C162" s="281">
        <v>43000</v>
      </c>
      <c r="D162" s="277">
        <f>'6.1. Інша інфо_1'!H34</f>
        <v>39000</v>
      </c>
      <c r="E162" s="130">
        <f>'6.1. Інша інфо_1'!F34</f>
        <v>76150</v>
      </c>
      <c r="F162" s="130">
        <f>'6.1. Інша інфо_1'!H34</f>
        <v>39000</v>
      </c>
      <c r="G162" s="5">
        <f t="shared" si="17"/>
        <v>-37150</v>
      </c>
      <c r="H162" s="130">
        <f t="shared" si="18"/>
        <v>51.214707813525941</v>
      </c>
    </row>
    <row r="163" spans="1:8" ht="20.100000000000001" customHeight="1">
      <c r="A163" s="10" t="s">
        <v>245</v>
      </c>
      <c r="B163" s="6">
        <v>8022</v>
      </c>
      <c r="C163" s="281">
        <v>11271.4</v>
      </c>
      <c r="D163" s="277">
        <f>'6.1. Інша інфо_1'!H35</f>
        <v>12848.26</v>
      </c>
      <c r="E163" s="5">
        <f>'6.1. Інша інфо_1'!F35</f>
        <v>18518.2</v>
      </c>
      <c r="F163" s="130">
        <f>'6.1. Інша інфо_1'!H35</f>
        <v>12848.26</v>
      </c>
      <c r="G163" s="5">
        <f t="shared" si="17"/>
        <v>-5669.9400000000005</v>
      </c>
      <c r="H163" s="130">
        <f t="shared" si="18"/>
        <v>69.381797366914711</v>
      </c>
    </row>
    <row r="164" spans="1:8" ht="20.100000000000001" customHeight="1">
      <c r="A164" s="10" t="s">
        <v>247</v>
      </c>
      <c r="B164" s="6">
        <v>8023</v>
      </c>
      <c r="C164" s="281">
        <v>11514.8</v>
      </c>
      <c r="D164" s="277">
        <f>'6.1. Інша інфо_1'!H36</f>
        <v>10990.74</v>
      </c>
      <c r="E164" s="5">
        <f>'6.1. Інша інфо_1'!F36</f>
        <v>13439.7</v>
      </c>
      <c r="F164" s="130">
        <f>'6.1. Інша інфо_1'!H36</f>
        <v>10990.74</v>
      </c>
      <c r="G164" s="5">
        <f t="shared" si="17"/>
        <v>-2448.9600000000009</v>
      </c>
      <c r="H164" s="130">
        <f t="shared" si="18"/>
        <v>81.77816469117613</v>
      </c>
    </row>
    <row r="165" spans="1:8" ht="20.100000000000001" customHeight="1">
      <c r="A165" s="49"/>
      <c r="B165" s="52"/>
      <c r="C165" s="49"/>
    </row>
    <row r="166" spans="1:8" ht="20.100000000000001" customHeight="1">
      <c r="A166" s="49"/>
      <c r="B166" s="52"/>
      <c r="C166" s="49"/>
    </row>
    <row r="167" spans="1:8" ht="20.100000000000001" customHeight="1">
      <c r="A167" s="49"/>
      <c r="B167" s="52"/>
      <c r="C167" s="49"/>
    </row>
    <row r="168" spans="1:8" ht="20.100000000000001" customHeight="1">
      <c r="A168" s="49"/>
      <c r="B168" s="52"/>
      <c r="C168" s="49"/>
    </row>
    <row r="169" spans="1:8" ht="20.100000000000001" customHeight="1">
      <c r="A169" s="49"/>
      <c r="B169" s="52"/>
      <c r="C169" s="49"/>
    </row>
    <row r="170" spans="1:8" ht="27.75" customHeight="1">
      <c r="A170" s="43" t="s">
        <v>640</v>
      </c>
      <c r="B170" s="31"/>
      <c r="C170" s="332" t="s">
        <v>105</v>
      </c>
      <c r="D170" s="332"/>
      <c r="E170" s="147"/>
      <c r="F170" s="314" t="s">
        <v>735</v>
      </c>
      <c r="G170" s="314"/>
      <c r="H170" s="314"/>
    </row>
    <row r="171" spans="1:8" s="1" customFormat="1" ht="20.100000000000001" customHeight="1">
      <c r="A171" s="23" t="s">
        <v>83</v>
      </c>
      <c r="B171" s="2"/>
      <c r="C171" s="329" t="s">
        <v>84</v>
      </c>
      <c r="D171" s="329"/>
      <c r="E171" s="2"/>
      <c r="F171" s="331" t="s">
        <v>219</v>
      </c>
      <c r="G171" s="331"/>
      <c r="H171" s="331"/>
    </row>
    <row r="172" spans="1:8" ht="20.100000000000001" customHeight="1"/>
    <row r="173" spans="1:8" ht="20.100000000000001" customHeight="1">
      <c r="A173" s="49"/>
    </row>
    <row r="174" spans="1:8" ht="20.100000000000001" customHeight="1">
      <c r="A174" s="49"/>
    </row>
    <row r="175" spans="1:8" ht="20.100000000000001" customHeight="1">
      <c r="A175" s="49"/>
    </row>
    <row r="176" spans="1:8" ht="20.100000000000001" customHeight="1">
      <c r="A176" s="49"/>
    </row>
    <row r="177" spans="1:1" ht="20.100000000000001" customHeight="1">
      <c r="A177" s="49"/>
    </row>
    <row r="178" spans="1:1" ht="20.100000000000001" customHeight="1">
      <c r="A178" s="49"/>
    </row>
    <row r="179" spans="1:1" ht="20.100000000000001" customHeight="1">
      <c r="A179" s="49"/>
    </row>
    <row r="180" spans="1:1" ht="20.100000000000001" customHeight="1">
      <c r="A180" s="49"/>
    </row>
    <row r="181" spans="1:1" ht="20.100000000000001" customHeight="1">
      <c r="A181" s="49"/>
    </row>
    <row r="182" spans="1:1" ht="20.100000000000001" customHeight="1">
      <c r="A182" s="49"/>
    </row>
    <row r="183" spans="1:1" ht="20.100000000000001" customHeight="1">
      <c r="A183" s="49"/>
    </row>
    <row r="184" spans="1:1" ht="20.100000000000001" customHeight="1">
      <c r="A184" s="49"/>
    </row>
    <row r="185" spans="1:1" ht="20.100000000000001" customHeight="1">
      <c r="A185" s="49"/>
    </row>
    <row r="186" spans="1:1" ht="20.100000000000001" customHeight="1">
      <c r="A186" s="49"/>
    </row>
    <row r="187" spans="1:1" ht="20.100000000000001" customHeight="1">
      <c r="A187" s="49"/>
    </row>
    <row r="188" spans="1:1" ht="20.100000000000001" customHeight="1">
      <c r="A188" s="49"/>
    </row>
    <row r="189" spans="1:1" ht="20.100000000000001" customHeight="1">
      <c r="A189" s="49"/>
    </row>
    <row r="190" spans="1:1" ht="20.100000000000001" customHeight="1">
      <c r="A190" s="49"/>
    </row>
    <row r="191" spans="1:1" ht="20.100000000000001" customHeight="1">
      <c r="A191" s="49"/>
    </row>
    <row r="192" spans="1:1" ht="20.100000000000001" customHeight="1">
      <c r="A192" s="49"/>
    </row>
    <row r="193" spans="1:1" ht="20.100000000000001" customHeight="1">
      <c r="A193" s="49"/>
    </row>
    <row r="194" spans="1:1" ht="20.100000000000001" customHeight="1">
      <c r="A194" s="49"/>
    </row>
    <row r="195" spans="1:1" ht="20.100000000000001" customHeight="1">
      <c r="A195" s="49"/>
    </row>
    <row r="196" spans="1:1" ht="20.100000000000001" customHeight="1">
      <c r="A196" s="49"/>
    </row>
    <row r="197" spans="1:1" ht="20.100000000000001" customHeight="1">
      <c r="A197" s="49"/>
    </row>
    <row r="198" spans="1:1" ht="20.100000000000001" customHeight="1">
      <c r="A198" s="49"/>
    </row>
    <row r="199" spans="1:1" ht="20.100000000000001" customHeight="1">
      <c r="A199" s="49"/>
    </row>
    <row r="200" spans="1:1" ht="20.100000000000001" customHeight="1">
      <c r="A200" s="49"/>
    </row>
    <row r="201" spans="1:1" ht="20.100000000000001" customHeight="1">
      <c r="A201" s="49"/>
    </row>
    <row r="202" spans="1:1" ht="20.100000000000001" customHeight="1">
      <c r="A202" s="49"/>
    </row>
    <row r="203" spans="1:1" ht="20.100000000000001" customHeight="1">
      <c r="A203" s="49"/>
    </row>
    <row r="204" spans="1:1" ht="20.100000000000001" customHeight="1">
      <c r="A204" s="49"/>
    </row>
    <row r="205" spans="1:1" ht="20.100000000000001" customHeight="1">
      <c r="A205" s="49"/>
    </row>
    <row r="206" spans="1:1" ht="20.100000000000001" customHeight="1">
      <c r="A206" s="49"/>
    </row>
    <row r="207" spans="1:1" ht="20.100000000000001" customHeight="1">
      <c r="A207" s="49"/>
    </row>
    <row r="208" spans="1:1" ht="20.100000000000001" customHeight="1">
      <c r="A208" s="49"/>
    </row>
    <row r="209" spans="1:1" ht="20.100000000000001" customHeight="1">
      <c r="A209" s="49"/>
    </row>
    <row r="210" spans="1:1" ht="20.100000000000001" customHeight="1">
      <c r="A210" s="49"/>
    </row>
    <row r="211" spans="1:1" ht="20.100000000000001" customHeight="1">
      <c r="A211" s="49"/>
    </row>
    <row r="212" spans="1:1" ht="20.100000000000001" customHeight="1">
      <c r="A212" s="49"/>
    </row>
    <row r="213" spans="1:1" ht="20.100000000000001" customHeight="1">
      <c r="A213" s="49"/>
    </row>
    <row r="214" spans="1:1" ht="20.100000000000001" customHeight="1">
      <c r="A214" s="49"/>
    </row>
    <row r="215" spans="1:1" ht="20.100000000000001" customHeight="1">
      <c r="A215" s="49"/>
    </row>
    <row r="216" spans="1:1" ht="20.100000000000001" customHeight="1">
      <c r="A216" s="49"/>
    </row>
    <row r="217" spans="1:1" ht="20.100000000000001" customHeight="1">
      <c r="A217" s="49"/>
    </row>
    <row r="218" spans="1:1" ht="20.100000000000001" customHeight="1">
      <c r="A218" s="49"/>
    </row>
    <row r="219" spans="1:1" ht="20.100000000000001" customHeight="1">
      <c r="A219" s="49"/>
    </row>
    <row r="220" spans="1:1" ht="20.100000000000001" customHeight="1">
      <c r="A220" s="49"/>
    </row>
    <row r="221" spans="1:1" ht="20.100000000000001" customHeight="1">
      <c r="A221" s="49"/>
    </row>
    <row r="222" spans="1:1" ht="20.100000000000001" customHeight="1">
      <c r="A222" s="49"/>
    </row>
    <row r="223" spans="1:1" ht="20.100000000000001" customHeight="1">
      <c r="A223" s="49"/>
    </row>
    <row r="224" spans="1:1" ht="20.100000000000001" customHeight="1">
      <c r="A224" s="49"/>
    </row>
    <row r="225" spans="1:1">
      <c r="A225" s="49"/>
    </row>
    <row r="226" spans="1:1">
      <c r="A226" s="49"/>
    </row>
    <row r="227" spans="1:1">
      <c r="A227" s="49"/>
    </row>
    <row r="228" spans="1:1">
      <c r="A228" s="49"/>
    </row>
    <row r="229" spans="1:1">
      <c r="A229" s="49"/>
    </row>
    <row r="230" spans="1:1">
      <c r="A230" s="49"/>
    </row>
    <row r="231" spans="1:1">
      <c r="A231" s="49"/>
    </row>
    <row r="232" spans="1:1">
      <c r="A232" s="49"/>
    </row>
    <row r="233" spans="1:1">
      <c r="A233" s="49"/>
    </row>
    <row r="234" spans="1:1">
      <c r="A234" s="49"/>
    </row>
    <row r="235" spans="1:1">
      <c r="A235" s="49"/>
    </row>
    <row r="236" spans="1:1">
      <c r="A236" s="49"/>
    </row>
    <row r="237" spans="1:1">
      <c r="A237" s="49"/>
    </row>
    <row r="238" spans="1:1">
      <c r="A238" s="49"/>
    </row>
    <row r="239" spans="1:1">
      <c r="A239" s="49"/>
    </row>
    <row r="240" spans="1:1">
      <c r="A240" s="49"/>
    </row>
    <row r="241" spans="1:1">
      <c r="A241" s="49"/>
    </row>
    <row r="242" spans="1:1">
      <c r="A242" s="49"/>
    </row>
    <row r="243" spans="1:1">
      <c r="A243" s="49"/>
    </row>
    <row r="244" spans="1:1">
      <c r="A244" s="49"/>
    </row>
    <row r="245" spans="1:1">
      <c r="A245" s="49"/>
    </row>
    <row r="246" spans="1:1">
      <c r="A246" s="49"/>
    </row>
    <row r="247" spans="1:1">
      <c r="A247" s="49"/>
    </row>
    <row r="248" spans="1:1">
      <c r="A248" s="49"/>
    </row>
    <row r="249" spans="1:1">
      <c r="A249" s="49"/>
    </row>
    <row r="250" spans="1:1">
      <c r="A250" s="49"/>
    </row>
    <row r="251" spans="1:1">
      <c r="A251" s="49"/>
    </row>
    <row r="252" spans="1:1">
      <c r="A252" s="49"/>
    </row>
    <row r="253" spans="1:1">
      <c r="A253" s="49"/>
    </row>
    <row r="254" spans="1:1">
      <c r="A254" s="49"/>
    </row>
    <row r="255" spans="1:1">
      <c r="A255" s="49"/>
    </row>
    <row r="256" spans="1:1">
      <c r="A256" s="49"/>
    </row>
    <row r="257" spans="1:1">
      <c r="A257" s="49"/>
    </row>
    <row r="258" spans="1:1">
      <c r="A258" s="49"/>
    </row>
    <row r="259" spans="1:1">
      <c r="A259" s="49"/>
    </row>
    <row r="260" spans="1:1">
      <c r="A260" s="49"/>
    </row>
    <row r="261" spans="1:1">
      <c r="A261" s="49"/>
    </row>
    <row r="262" spans="1:1">
      <c r="A262" s="49"/>
    </row>
    <row r="263" spans="1:1">
      <c r="A263" s="49"/>
    </row>
    <row r="264" spans="1:1">
      <c r="A264" s="49"/>
    </row>
    <row r="265" spans="1:1">
      <c r="A265" s="49"/>
    </row>
    <row r="266" spans="1:1">
      <c r="A266" s="49"/>
    </row>
    <row r="267" spans="1:1">
      <c r="A267" s="49"/>
    </row>
    <row r="268" spans="1:1">
      <c r="A268" s="49"/>
    </row>
    <row r="269" spans="1:1">
      <c r="A269" s="49"/>
    </row>
    <row r="270" spans="1:1">
      <c r="A270" s="49"/>
    </row>
    <row r="271" spans="1:1">
      <c r="A271" s="49"/>
    </row>
    <row r="272" spans="1:1">
      <c r="A272" s="49"/>
    </row>
    <row r="273" spans="1:1">
      <c r="A273" s="49"/>
    </row>
    <row r="274" spans="1:1">
      <c r="A274" s="49"/>
    </row>
    <row r="275" spans="1:1">
      <c r="A275" s="49"/>
    </row>
    <row r="276" spans="1:1">
      <c r="A276" s="49"/>
    </row>
    <row r="277" spans="1:1">
      <c r="A277" s="49"/>
    </row>
    <row r="278" spans="1:1">
      <c r="A278" s="49"/>
    </row>
    <row r="279" spans="1:1">
      <c r="A279" s="49"/>
    </row>
    <row r="280" spans="1:1">
      <c r="A280" s="49"/>
    </row>
    <row r="281" spans="1:1">
      <c r="A281" s="49"/>
    </row>
    <row r="282" spans="1:1">
      <c r="A282" s="49"/>
    </row>
    <row r="283" spans="1:1">
      <c r="A283" s="49"/>
    </row>
    <row r="284" spans="1:1">
      <c r="A284" s="49"/>
    </row>
    <row r="285" spans="1:1">
      <c r="A285" s="49"/>
    </row>
    <row r="286" spans="1:1">
      <c r="A286" s="49"/>
    </row>
    <row r="287" spans="1:1">
      <c r="A287" s="49"/>
    </row>
    <row r="288" spans="1:1">
      <c r="A288" s="49"/>
    </row>
    <row r="289" spans="1:1">
      <c r="A289" s="49"/>
    </row>
    <row r="290" spans="1:1">
      <c r="A290" s="49"/>
    </row>
    <row r="291" spans="1:1">
      <c r="A291" s="49"/>
    </row>
    <row r="292" spans="1:1">
      <c r="A292" s="49"/>
    </row>
    <row r="293" spans="1:1">
      <c r="A293" s="49"/>
    </row>
    <row r="294" spans="1:1">
      <c r="A294" s="49"/>
    </row>
    <row r="295" spans="1:1">
      <c r="A295" s="49"/>
    </row>
    <row r="296" spans="1:1">
      <c r="A296" s="49"/>
    </row>
    <row r="297" spans="1:1">
      <c r="A297" s="49"/>
    </row>
    <row r="298" spans="1:1">
      <c r="A298" s="49"/>
    </row>
    <row r="299" spans="1:1">
      <c r="A299" s="49"/>
    </row>
    <row r="300" spans="1:1">
      <c r="A300" s="49"/>
    </row>
    <row r="301" spans="1:1">
      <c r="A301" s="49"/>
    </row>
    <row r="302" spans="1:1">
      <c r="A302" s="49"/>
    </row>
    <row r="303" spans="1:1">
      <c r="A303" s="49"/>
    </row>
    <row r="304" spans="1:1">
      <c r="A304" s="49"/>
    </row>
    <row r="305" spans="1:1">
      <c r="A305" s="49"/>
    </row>
    <row r="306" spans="1:1">
      <c r="A306" s="49"/>
    </row>
    <row r="307" spans="1:1">
      <c r="A307" s="49"/>
    </row>
    <row r="308" spans="1:1">
      <c r="A308" s="49"/>
    </row>
    <row r="309" spans="1:1">
      <c r="A309" s="49"/>
    </row>
    <row r="310" spans="1:1">
      <c r="A310" s="49"/>
    </row>
    <row r="311" spans="1:1">
      <c r="A311" s="49"/>
    </row>
    <row r="312" spans="1:1">
      <c r="A312" s="49"/>
    </row>
    <row r="313" spans="1:1">
      <c r="A313" s="49"/>
    </row>
    <row r="314" spans="1:1">
      <c r="A314" s="49"/>
    </row>
    <row r="315" spans="1:1">
      <c r="A315" s="49"/>
    </row>
    <row r="316" spans="1:1">
      <c r="A316" s="49"/>
    </row>
    <row r="317" spans="1:1">
      <c r="A317" s="49"/>
    </row>
    <row r="318" spans="1:1">
      <c r="A318" s="49"/>
    </row>
    <row r="319" spans="1:1">
      <c r="A319" s="49"/>
    </row>
    <row r="320" spans="1:1">
      <c r="A320" s="49"/>
    </row>
    <row r="321" spans="1:1">
      <c r="A321" s="49"/>
    </row>
    <row r="322" spans="1:1">
      <c r="A322" s="49"/>
    </row>
    <row r="323" spans="1:1">
      <c r="A323" s="49"/>
    </row>
    <row r="324" spans="1:1">
      <c r="A324" s="49"/>
    </row>
    <row r="325" spans="1:1">
      <c r="A325" s="49"/>
    </row>
    <row r="326" spans="1:1">
      <c r="A326" s="49"/>
    </row>
    <row r="327" spans="1:1">
      <c r="A327" s="49"/>
    </row>
    <row r="328" spans="1:1">
      <c r="A328" s="49"/>
    </row>
    <row r="329" spans="1:1">
      <c r="A329" s="49"/>
    </row>
    <row r="330" spans="1:1">
      <c r="A330" s="49"/>
    </row>
    <row r="331" spans="1:1">
      <c r="A331" s="49"/>
    </row>
    <row r="332" spans="1:1">
      <c r="A332" s="49"/>
    </row>
    <row r="333" spans="1:1">
      <c r="A333" s="49"/>
    </row>
    <row r="334" spans="1:1">
      <c r="A334" s="49"/>
    </row>
    <row r="335" spans="1:1">
      <c r="A335" s="49"/>
    </row>
    <row r="336" spans="1:1">
      <c r="A336" s="49"/>
    </row>
    <row r="337" spans="1:1">
      <c r="A337" s="49"/>
    </row>
    <row r="338" spans="1:1">
      <c r="A338" s="49"/>
    </row>
    <row r="339" spans="1:1">
      <c r="A339" s="49"/>
    </row>
    <row r="340" spans="1:1">
      <c r="A340" s="49"/>
    </row>
  </sheetData>
  <mergeCells count="42">
    <mergeCell ref="A146:H146"/>
    <mergeCell ref="A30:H30"/>
    <mergeCell ref="C171:D171"/>
    <mergeCell ref="F171:H171"/>
    <mergeCell ref="C170:D170"/>
    <mergeCell ref="A155:H155"/>
    <mergeCell ref="F170:H170"/>
    <mergeCell ref="A132:H132"/>
    <mergeCell ref="A113:H113"/>
    <mergeCell ref="A91:H91"/>
    <mergeCell ref="A126:H126"/>
    <mergeCell ref="A105:H105"/>
    <mergeCell ref="A27:A28"/>
    <mergeCell ref="A78:H78"/>
    <mergeCell ref="A79:H79"/>
    <mergeCell ref="A20:H20"/>
    <mergeCell ref="A22:H22"/>
    <mergeCell ref="A21:H21"/>
    <mergeCell ref="C27:D27"/>
    <mergeCell ref="E27:H27"/>
    <mergeCell ref="B27:B28"/>
    <mergeCell ref="A23:H23"/>
    <mergeCell ref="B16:E16"/>
    <mergeCell ref="A25:H25"/>
    <mergeCell ref="B7:E7"/>
    <mergeCell ref="B11:E11"/>
    <mergeCell ref="B10:E10"/>
    <mergeCell ref="B15:E15"/>
    <mergeCell ref="B12:E12"/>
    <mergeCell ref="B8:E8"/>
    <mergeCell ref="B14:E14"/>
    <mergeCell ref="F14:G14"/>
    <mergeCell ref="B13:E13"/>
    <mergeCell ref="F13:G13"/>
    <mergeCell ref="B17:E17"/>
    <mergeCell ref="B18:E18"/>
    <mergeCell ref="F1:H1"/>
    <mergeCell ref="F2:H2"/>
    <mergeCell ref="F3:H3"/>
    <mergeCell ref="F4:H4"/>
    <mergeCell ref="B9:E9"/>
    <mergeCell ref="B6:E6"/>
  </mergeCells>
  <phoneticPr fontId="3" type="noConversion"/>
  <pageMargins left="0.78740157480314965" right="0.39370078740157483" top="0.47244094488188981" bottom="0.19685039370078741" header="0.19685039370078741" footer="0.11811023622047245"/>
  <pageSetup paperSize="9" scale="54" fitToHeight="4" orientation="landscape" verticalDpi="300" r:id="rId1"/>
  <headerFooter alignWithMargins="0">
    <oddHeader>&amp;C
&amp;"Times New Roman,обычный"&amp;14 2&amp;R&amp;"Times New Roman,обычный"&amp;14Продовження додатка 3</oddHeader>
  </headerFooter>
  <rowBreaks count="3" manualBreakCount="3">
    <brk id="49" max="7" man="1"/>
    <brk id="90" max="7" man="1"/>
    <brk id="125" max="7" man="1"/>
  </rowBreaks>
  <ignoredErrors>
    <ignoredError sqref="H133 H145 H106 H114 H31:H34 H137:H142 H58:H59" evalError="1"/>
    <ignoredError sqref="B1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400"/>
  <sheetViews>
    <sheetView showZeros="0" view="pageBreakPreview" zoomScale="75" zoomScaleNormal="75" zoomScaleSheetLayoutView="75" workbookViewId="0">
      <pane xSplit="2" ySplit="7" topLeftCell="C147" activePane="bottomRight" state="frozen"/>
      <selection activeCell="F65" sqref="F65"/>
      <selection pane="topRight" activeCell="F65" sqref="F65"/>
      <selection pane="bottomLeft" activeCell="F65" sqref="F65"/>
      <selection pane="bottomRight" activeCell="C163" sqref="C163:F169"/>
    </sheetView>
  </sheetViews>
  <sheetFormatPr defaultRowHeight="18.75"/>
  <cols>
    <col min="1" max="1" width="85.7109375" style="2" customWidth="1"/>
    <col min="2" max="2" width="14.85546875" style="23" customWidth="1"/>
    <col min="3" max="3" width="19.140625" style="23" customWidth="1"/>
    <col min="4" max="4" width="19.5703125" style="23" customWidth="1"/>
    <col min="5" max="5" width="19.140625" style="23" customWidth="1"/>
    <col min="6" max="6" width="20" style="23" customWidth="1"/>
    <col min="7" max="7" width="22.42578125" style="23" customWidth="1"/>
    <col min="8" max="8" width="19.85546875" style="23" customWidth="1"/>
    <col min="9" max="9" width="78.28515625" style="23" customWidth="1"/>
    <col min="10" max="11" width="9.140625" style="2"/>
    <col min="12" max="12" width="15.5703125" style="2" bestFit="1" customWidth="1"/>
    <col min="13" max="16384" width="9.140625" style="2"/>
  </cols>
  <sheetData>
    <row r="1" spans="1:9">
      <c r="B1" s="25"/>
      <c r="C1" s="25"/>
      <c r="D1" s="25"/>
      <c r="E1" s="25"/>
      <c r="F1" s="25"/>
      <c r="G1" s="25"/>
      <c r="H1" s="25"/>
      <c r="I1" s="27" t="s">
        <v>181</v>
      </c>
    </row>
    <row r="2" spans="1:9">
      <c r="A2" s="339" t="s">
        <v>98</v>
      </c>
      <c r="B2" s="339"/>
      <c r="C2" s="339"/>
      <c r="D2" s="339"/>
      <c r="E2" s="339"/>
      <c r="F2" s="339"/>
      <c r="G2" s="339"/>
      <c r="H2" s="339"/>
      <c r="I2" s="339"/>
    </row>
    <row r="3" spans="1:9" ht="12.75" customHeight="1">
      <c r="A3" s="43"/>
      <c r="B3" s="52"/>
      <c r="C3" s="52"/>
      <c r="D3" s="52"/>
      <c r="E3" s="52"/>
      <c r="F3" s="52"/>
      <c r="G3" s="52"/>
      <c r="H3" s="52"/>
      <c r="I3" s="52"/>
    </row>
    <row r="4" spans="1:9" ht="39" customHeight="1">
      <c r="A4" s="319" t="s">
        <v>242</v>
      </c>
      <c r="B4" s="327" t="s">
        <v>31</v>
      </c>
      <c r="C4" s="327" t="s">
        <v>194</v>
      </c>
      <c r="D4" s="327"/>
      <c r="E4" s="319" t="s">
        <v>561</v>
      </c>
      <c r="F4" s="319"/>
      <c r="G4" s="319"/>
      <c r="H4" s="319"/>
      <c r="I4" s="319"/>
    </row>
    <row r="5" spans="1:9" ht="37.5">
      <c r="A5" s="319"/>
      <c r="B5" s="327"/>
      <c r="C5" s="6" t="s">
        <v>226</v>
      </c>
      <c r="D5" s="6" t="s">
        <v>227</v>
      </c>
      <c r="E5" s="6" t="s">
        <v>228</v>
      </c>
      <c r="F5" s="6" t="s">
        <v>209</v>
      </c>
      <c r="G5" s="68" t="s">
        <v>237</v>
      </c>
      <c r="H5" s="68" t="s">
        <v>238</v>
      </c>
      <c r="I5" s="269" t="s">
        <v>236</v>
      </c>
    </row>
    <row r="6" spans="1:9">
      <c r="A6" s="5">
        <v>1</v>
      </c>
      <c r="B6" s="6">
        <v>2</v>
      </c>
      <c r="C6" s="5">
        <v>3</v>
      </c>
      <c r="D6" s="6">
        <v>4</v>
      </c>
      <c r="E6" s="5">
        <v>5</v>
      </c>
      <c r="F6" s="6">
        <v>6</v>
      </c>
      <c r="G6" s="5">
        <v>7</v>
      </c>
      <c r="H6" s="6">
        <v>8</v>
      </c>
      <c r="I6" s="5">
        <v>9</v>
      </c>
    </row>
    <row r="7" spans="1:9" s="4" customFormat="1" ht="24.95" customHeight="1">
      <c r="A7" s="340" t="s">
        <v>235</v>
      </c>
      <c r="B7" s="340"/>
      <c r="C7" s="340"/>
      <c r="D7" s="340"/>
      <c r="E7" s="340"/>
      <c r="F7" s="340"/>
      <c r="G7" s="340"/>
      <c r="H7" s="340"/>
      <c r="I7" s="340"/>
    </row>
    <row r="8" spans="1:9" s="4" customFormat="1" ht="37.5">
      <c r="A8" s="248" t="s">
        <v>109</v>
      </c>
      <c r="B8" s="118">
        <v>1000</v>
      </c>
      <c r="C8" s="249">
        <f>SUM(C9:C14)</f>
        <v>203147</v>
      </c>
      <c r="D8" s="249">
        <f>SUM(D9:D14)</f>
        <v>170324</v>
      </c>
      <c r="E8" s="249">
        <f>SUM(E9:E14)</f>
        <v>288231.90000000002</v>
      </c>
      <c r="F8" s="249">
        <f>SUM(F9:F14)</f>
        <v>170324</v>
      </c>
      <c r="G8" s="119">
        <f>F8-E8</f>
        <v>-117907.90000000002</v>
      </c>
      <c r="H8" s="120">
        <f t="shared" ref="H8:H23" si="0">F8/E8</f>
        <v>0.59092695846642929</v>
      </c>
      <c r="I8" s="116"/>
    </row>
    <row r="9" spans="1:9" s="4" customFormat="1">
      <c r="A9" s="109" t="s">
        <v>422</v>
      </c>
      <c r="B9" s="6">
        <v>1001</v>
      </c>
      <c r="C9" s="284">
        <f>39979.6+42435.4+38478.6+36236.4</f>
        <v>157130</v>
      </c>
      <c r="D9" s="104">
        <f>F9</f>
        <v>122035</v>
      </c>
      <c r="E9" s="104">
        <v>248936.9</v>
      </c>
      <c r="F9" s="104">
        <f>115741.5+4318.5+1975</f>
        <v>122035</v>
      </c>
      <c r="G9" s="119">
        <f t="shared" ref="G9:G14" si="1">F9-E9</f>
        <v>-126901.9</v>
      </c>
      <c r="H9" s="120">
        <f t="shared" ref="H9:H14" si="2">F9/E9</f>
        <v>0.49022463122180765</v>
      </c>
      <c r="I9" s="291" t="s">
        <v>742</v>
      </c>
    </row>
    <row r="10" spans="1:9" s="4" customFormat="1">
      <c r="A10" s="109" t="s">
        <v>423</v>
      </c>
      <c r="B10" s="6">
        <v>1002</v>
      </c>
      <c r="C10" s="284">
        <f>2312.5+1508.4+3688.9+5644.8</f>
        <v>13154.6</v>
      </c>
      <c r="D10" s="284">
        <f>F10</f>
        <v>12230.7</v>
      </c>
      <c r="E10" s="104">
        <v>9000</v>
      </c>
      <c r="F10" s="104">
        <v>12230.7</v>
      </c>
      <c r="G10" s="119">
        <f t="shared" si="1"/>
        <v>3230.7000000000007</v>
      </c>
      <c r="H10" s="120">
        <f t="shared" si="2"/>
        <v>1.3589666666666667</v>
      </c>
      <c r="I10" s="291" t="s">
        <v>712</v>
      </c>
    </row>
    <row r="11" spans="1:9" s="4" customFormat="1">
      <c r="A11" s="109" t="s">
        <v>424</v>
      </c>
      <c r="B11" s="6">
        <v>1003</v>
      </c>
      <c r="C11" s="284">
        <v>0</v>
      </c>
      <c r="D11" s="284">
        <f t="shared" ref="D11:D14" si="3">F11</f>
        <v>0</v>
      </c>
      <c r="E11" s="104"/>
      <c r="F11" s="104"/>
      <c r="G11" s="119">
        <f t="shared" si="1"/>
        <v>0</v>
      </c>
      <c r="H11" s="120"/>
      <c r="I11" s="292"/>
    </row>
    <row r="12" spans="1:9" s="4" customFormat="1">
      <c r="A12" s="109" t="s">
        <v>425</v>
      </c>
      <c r="B12" s="6">
        <v>1004</v>
      </c>
      <c r="C12" s="284">
        <f>7847.5+8618.6+5486.8+9193.8</f>
        <v>31146.699999999997</v>
      </c>
      <c r="D12" s="284">
        <f t="shared" si="3"/>
        <v>34361.800000000003</v>
      </c>
      <c r="E12" s="104">
        <v>27520</v>
      </c>
      <c r="F12" s="104">
        <v>34361.800000000003</v>
      </c>
      <c r="G12" s="119">
        <f t="shared" si="1"/>
        <v>6841.8000000000029</v>
      </c>
      <c r="H12" s="120">
        <f t="shared" si="2"/>
        <v>1.2486119186046514</v>
      </c>
      <c r="I12" s="292"/>
    </row>
    <row r="13" spans="1:9" s="4" customFormat="1">
      <c r="A13" s="250" t="s">
        <v>426</v>
      </c>
      <c r="B13" s="68">
        <v>1005</v>
      </c>
      <c r="C13" s="284">
        <f>115.4+153+130.3+197.5</f>
        <v>596.20000000000005</v>
      </c>
      <c r="D13" s="284">
        <f t="shared" si="3"/>
        <v>714.2</v>
      </c>
      <c r="E13" s="251">
        <v>1400</v>
      </c>
      <c r="F13" s="251">
        <f>21+252.5+440.1+0.6</f>
        <v>714.2</v>
      </c>
      <c r="G13" s="252">
        <f t="shared" si="1"/>
        <v>-685.8</v>
      </c>
      <c r="H13" s="253">
        <f t="shared" si="2"/>
        <v>0.51014285714285712</v>
      </c>
      <c r="I13" s="292"/>
    </row>
    <row r="14" spans="1:9" s="4" customFormat="1">
      <c r="A14" s="109" t="s">
        <v>427</v>
      </c>
      <c r="B14" s="6">
        <v>1006</v>
      </c>
      <c r="C14" s="284">
        <f>331+338.6+254.4+195.5</f>
        <v>1119.5</v>
      </c>
      <c r="D14" s="284">
        <f t="shared" si="3"/>
        <v>982.3</v>
      </c>
      <c r="E14" s="104">
        <v>1375</v>
      </c>
      <c r="F14" s="104">
        <v>982.3</v>
      </c>
      <c r="G14" s="119">
        <f t="shared" si="1"/>
        <v>-392.70000000000005</v>
      </c>
      <c r="H14" s="120">
        <f t="shared" si="2"/>
        <v>0.71439999999999992</v>
      </c>
      <c r="I14" s="291" t="s">
        <v>708</v>
      </c>
    </row>
    <row r="15" spans="1:9" ht="37.5">
      <c r="A15" s="126" t="s">
        <v>123</v>
      </c>
      <c r="B15" s="127">
        <v>1010</v>
      </c>
      <c r="C15" s="166">
        <f>SUM(C16:C23)</f>
        <v>-159437</v>
      </c>
      <c r="D15" s="166">
        <f>SUM(D16:D23)</f>
        <v>-146319</v>
      </c>
      <c r="E15" s="166">
        <f>SUM(E16:E23)</f>
        <v>-208504.69999999998</v>
      </c>
      <c r="F15" s="166">
        <f>SUM(F16:F23)</f>
        <v>-146319</v>
      </c>
      <c r="G15" s="119">
        <f>-(F15-E15)</f>
        <v>-62185.699999999983</v>
      </c>
      <c r="H15" s="120">
        <f t="shared" si="0"/>
        <v>0.70175396525833711</v>
      </c>
      <c r="I15" s="293"/>
    </row>
    <row r="16" spans="1:9" s="1" customFormat="1">
      <c r="A16" s="109" t="s">
        <v>241</v>
      </c>
      <c r="B16" s="6">
        <v>1011</v>
      </c>
      <c r="C16" s="114">
        <f>-2206.3-1586.3-1593.8-1710</f>
        <v>-7096.4000000000005</v>
      </c>
      <c r="D16" s="114">
        <f>F16</f>
        <v>-4743.1000000000004</v>
      </c>
      <c r="E16" s="114">
        <v>-7265.2</v>
      </c>
      <c r="F16" s="114">
        <f>-2327.7-2415.4</f>
        <v>-4743.1000000000004</v>
      </c>
      <c r="G16" s="105">
        <f>-(F16-E16)</f>
        <v>-2522.0999999999995</v>
      </c>
      <c r="H16" s="103">
        <f t="shared" si="0"/>
        <v>0.65285195177008215</v>
      </c>
      <c r="I16" s="294"/>
    </row>
    <row r="17" spans="1:9" s="1" customFormat="1" ht="48.75" customHeight="1">
      <c r="A17" s="109" t="s">
        <v>71</v>
      </c>
      <c r="B17" s="6">
        <v>1012</v>
      </c>
      <c r="C17" s="114">
        <f>-2491.9-2014.2-2028.2-3546.7</f>
        <v>-10081</v>
      </c>
      <c r="D17" s="114">
        <f t="shared" ref="D17:D53" si="4">F17</f>
        <v>-10693.900000000001</v>
      </c>
      <c r="E17" s="114">
        <v>-17983.8</v>
      </c>
      <c r="F17" s="114">
        <f>-8068.6-2625.3</f>
        <v>-10693.900000000001</v>
      </c>
      <c r="G17" s="105">
        <f t="shared" ref="G17:G24" si="5">-(F17-E17)</f>
        <v>-7289.8999999999978</v>
      </c>
      <c r="H17" s="103">
        <f t="shared" si="0"/>
        <v>0.59464073221454872</v>
      </c>
      <c r="I17" s="296" t="s">
        <v>743</v>
      </c>
    </row>
    <row r="18" spans="1:9" s="1" customFormat="1" ht="40.5" customHeight="1">
      <c r="A18" s="239" t="s">
        <v>70</v>
      </c>
      <c r="B18" s="102">
        <v>1013</v>
      </c>
      <c r="C18" s="114">
        <f>-2250.2-1093.2-828.8-2451.6</f>
        <v>-6623.7999999999993</v>
      </c>
      <c r="D18" s="114">
        <f t="shared" si="4"/>
        <v>-6472.3</v>
      </c>
      <c r="E18" s="240">
        <v>-7162.8</v>
      </c>
      <c r="F18" s="240">
        <f>-4723.3-1749</f>
        <v>-6472.3</v>
      </c>
      <c r="G18" s="241">
        <f t="shared" si="5"/>
        <v>-690.5</v>
      </c>
      <c r="H18" s="236">
        <f t="shared" si="0"/>
        <v>0.9035991511699335</v>
      </c>
      <c r="I18" s="297"/>
    </row>
    <row r="19" spans="1:9" s="1" customFormat="1" ht="31.5">
      <c r="A19" s="109" t="s">
        <v>49</v>
      </c>
      <c r="B19" s="6">
        <v>1014</v>
      </c>
      <c r="C19" s="114">
        <f>-16259.2-20548.3-21382.6-21015</f>
        <v>-79205.100000000006</v>
      </c>
      <c r="D19" s="114">
        <f t="shared" si="4"/>
        <v>-74470.8</v>
      </c>
      <c r="E19" s="114">
        <v>-105797.7</v>
      </c>
      <c r="F19" s="114">
        <f>-55501.9-18968.9</f>
        <v>-74470.8</v>
      </c>
      <c r="G19" s="105">
        <f>-(F19-E19)</f>
        <v>-31326.899999999994</v>
      </c>
      <c r="H19" s="103">
        <f t="shared" si="0"/>
        <v>0.70389809986417484</v>
      </c>
      <c r="I19" s="291" t="s">
        <v>731</v>
      </c>
    </row>
    <row r="20" spans="1:9" s="1" customFormat="1">
      <c r="A20" s="109" t="s">
        <v>50</v>
      </c>
      <c r="B20" s="6">
        <v>1015</v>
      </c>
      <c r="C20" s="114">
        <f>-3734.9-4504-4733.7-4663</f>
        <v>-17635.599999999999</v>
      </c>
      <c r="D20" s="114">
        <f t="shared" si="4"/>
        <v>-16404.3</v>
      </c>
      <c r="E20" s="114">
        <v>-23275.5</v>
      </c>
      <c r="F20" s="114">
        <f>-12229-4175.3</f>
        <v>-16404.3</v>
      </c>
      <c r="G20" s="105">
        <f t="shared" si="5"/>
        <v>-6871.2000000000007</v>
      </c>
      <c r="H20" s="103">
        <f t="shared" si="0"/>
        <v>0.70478829670683762</v>
      </c>
      <c r="I20" s="291"/>
    </row>
    <row r="21" spans="1:9" s="1" customFormat="1" ht="56.25">
      <c r="A21" s="109" t="s">
        <v>223</v>
      </c>
      <c r="B21" s="6">
        <v>1016</v>
      </c>
      <c r="C21" s="114">
        <f>-1332.4-1921.1-1002.3-7160.3</f>
        <v>-11416.1</v>
      </c>
      <c r="D21" s="114">
        <f t="shared" si="4"/>
        <v>-3177.7000000000003</v>
      </c>
      <c r="E21" s="114">
        <v>-6194.9</v>
      </c>
      <c r="F21" s="114">
        <f>-2671.9-505.8</f>
        <v>-3177.7000000000003</v>
      </c>
      <c r="G21" s="105">
        <f t="shared" si="5"/>
        <v>-3017.1999999999994</v>
      </c>
      <c r="H21" s="103">
        <f t="shared" si="0"/>
        <v>0.51295420426479854</v>
      </c>
      <c r="I21" s="291"/>
    </row>
    <row r="22" spans="1:9" s="1" customFormat="1">
      <c r="A22" s="109" t="s">
        <v>69</v>
      </c>
      <c r="B22" s="6">
        <v>1017</v>
      </c>
      <c r="C22" s="114">
        <f>-2384.9-2656.4-2843.9-3324</f>
        <v>-11209.2</v>
      </c>
      <c r="D22" s="114">
        <f t="shared" si="4"/>
        <v>-13082</v>
      </c>
      <c r="E22" s="114">
        <v>-11890.8</v>
      </c>
      <c r="F22" s="114">
        <f>-9737.8-3344.2</f>
        <v>-13082</v>
      </c>
      <c r="G22" s="105">
        <f>-(F22-E22)</f>
        <v>1191.2000000000007</v>
      </c>
      <c r="H22" s="103">
        <f t="shared" si="0"/>
        <v>1.1001782890974536</v>
      </c>
      <c r="I22" s="291"/>
    </row>
    <row r="23" spans="1:9" s="1" customFormat="1">
      <c r="A23" s="109" t="s">
        <v>121</v>
      </c>
      <c r="B23" s="6">
        <v>1018</v>
      </c>
      <c r="C23" s="114">
        <f>SUM(C24:C53)</f>
        <v>-16169.8</v>
      </c>
      <c r="D23" s="114">
        <f>SUM(D24:D53)</f>
        <v>-17274.900000000001</v>
      </c>
      <c r="E23" s="114">
        <f>SUM(E24:E53)</f>
        <v>-28933.999999999996</v>
      </c>
      <c r="F23" s="114">
        <f>SUM(F24:F53)</f>
        <v>-17274.900000000001</v>
      </c>
      <c r="G23" s="105">
        <f t="shared" si="5"/>
        <v>-11659.099999999995</v>
      </c>
      <c r="H23" s="103">
        <f t="shared" si="0"/>
        <v>0.59704499896315766</v>
      </c>
      <c r="I23" s="291"/>
    </row>
    <row r="24" spans="1:9" s="1" customFormat="1">
      <c r="A24" s="112" t="s">
        <v>318</v>
      </c>
      <c r="B24" s="6" t="s">
        <v>351</v>
      </c>
      <c r="C24" s="114">
        <f>-223.4-220.8-199.2-217.5</f>
        <v>-860.90000000000009</v>
      </c>
      <c r="D24" s="114">
        <f t="shared" si="4"/>
        <v>-686.8</v>
      </c>
      <c r="E24" s="114">
        <v>-790</v>
      </c>
      <c r="F24" s="114">
        <f>-464-222.8</f>
        <v>-686.8</v>
      </c>
      <c r="G24" s="105">
        <f t="shared" si="5"/>
        <v>-103.20000000000005</v>
      </c>
      <c r="H24" s="103">
        <f t="shared" ref="H24:H52" si="6">F24/E24</f>
        <v>0.86936708860759493</v>
      </c>
      <c r="I24" s="291"/>
    </row>
    <row r="25" spans="1:9" s="1" customFormat="1">
      <c r="A25" s="112" t="s">
        <v>319</v>
      </c>
      <c r="B25" s="6" t="s">
        <v>352</v>
      </c>
      <c r="C25" s="114">
        <f>-23.7-9.4-6.7</f>
        <v>-39.800000000000004</v>
      </c>
      <c r="D25" s="114">
        <f t="shared" si="4"/>
        <v>-35.200000000000003</v>
      </c>
      <c r="E25" s="114">
        <v>-118.4</v>
      </c>
      <c r="F25" s="114">
        <f>-30.1-5.1</f>
        <v>-35.200000000000003</v>
      </c>
      <c r="G25" s="105">
        <f>-(F25-E25)</f>
        <v>-83.2</v>
      </c>
      <c r="H25" s="103">
        <f t="shared" si="6"/>
        <v>0.29729729729729731</v>
      </c>
      <c r="I25" s="291"/>
    </row>
    <row r="26" spans="1:9" s="1" customFormat="1">
      <c r="A26" s="112" t="s">
        <v>320</v>
      </c>
      <c r="B26" s="6" t="s">
        <v>353</v>
      </c>
      <c r="C26" s="114">
        <f>-345.2-354-460.2-323.9</f>
        <v>-1483.3000000000002</v>
      </c>
      <c r="D26" s="114">
        <f t="shared" si="4"/>
        <v>-677.7</v>
      </c>
      <c r="E26" s="114">
        <v>-2509.1</v>
      </c>
      <c r="F26" s="114">
        <f>-600.6-77.1</f>
        <v>-677.7</v>
      </c>
      <c r="G26" s="105">
        <f t="shared" ref="G26:G53" si="7">-(F26-E26)</f>
        <v>-1831.3999999999999</v>
      </c>
      <c r="H26" s="103">
        <f t="shared" si="6"/>
        <v>0.27009684747519036</v>
      </c>
      <c r="I26" s="291"/>
    </row>
    <row r="27" spans="1:9" s="1" customFormat="1">
      <c r="A27" s="112" t="s">
        <v>321</v>
      </c>
      <c r="B27" s="6" t="s">
        <v>354</v>
      </c>
      <c r="C27" s="114">
        <f>-40.1-28.5-56.2</f>
        <v>-124.8</v>
      </c>
      <c r="D27" s="114">
        <f t="shared" si="4"/>
        <v>-92.3</v>
      </c>
      <c r="E27" s="114">
        <v>-100</v>
      </c>
      <c r="F27" s="114">
        <f>-74.5-17.8</f>
        <v>-92.3</v>
      </c>
      <c r="G27" s="105">
        <f t="shared" si="7"/>
        <v>-7.7000000000000028</v>
      </c>
      <c r="H27" s="103">
        <f t="shared" si="6"/>
        <v>0.92299999999999993</v>
      </c>
      <c r="I27" s="291"/>
    </row>
    <row r="28" spans="1:9" s="1" customFormat="1">
      <c r="A28" s="112" t="s">
        <v>322</v>
      </c>
      <c r="B28" s="6" t="s">
        <v>355</v>
      </c>
      <c r="C28" s="114">
        <f>-270.4-125.3-84.5-275.5</f>
        <v>-755.7</v>
      </c>
      <c r="D28" s="114">
        <f t="shared" si="4"/>
        <v>-951.7</v>
      </c>
      <c r="E28" s="114">
        <v>-853.4</v>
      </c>
      <c r="F28" s="114">
        <f>-695.1-256.6</f>
        <v>-951.7</v>
      </c>
      <c r="G28" s="105">
        <f t="shared" si="7"/>
        <v>98.300000000000068</v>
      </c>
      <c r="H28" s="103">
        <f t="shared" si="6"/>
        <v>1.1151863135692526</v>
      </c>
      <c r="I28" s="291"/>
    </row>
    <row r="29" spans="1:9" s="1" customFormat="1">
      <c r="A29" s="113" t="s">
        <v>323</v>
      </c>
      <c r="B29" s="6" t="s">
        <v>356</v>
      </c>
      <c r="C29" s="114">
        <f>-110.9-152.5-75.6-96.5+(73.5+194)</f>
        <v>-168</v>
      </c>
      <c r="D29" s="114">
        <f t="shared" si="4"/>
        <v>-141.89999999999998</v>
      </c>
      <c r="E29" s="114">
        <v>-125</v>
      </c>
      <c r="F29" s="114">
        <f>-343.9-70.1+272.1</f>
        <v>-141.89999999999998</v>
      </c>
      <c r="G29" s="105">
        <f t="shared" si="7"/>
        <v>16.899999999999977</v>
      </c>
      <c r="H29" s="103">
        <f t="shared" si="6"/>
        <v>1.1351999999999998</v>
      </c>
      <c r="I29" s="291" t="s">
        <v>709</v>
      </c>
    </row>
    <row r="30" spans="1:9" s="1" customFormat="1">
      <c r="A30" s="113" t="s">
        <v>324</v>
      </c>
      <c r="B30" s="6" t="s">
        <v>357</v>
      </c>
      <c r="C30" s="114">
        <f>-737.5-372.1-412.8-898.5+64.4</f>
        <v>-2356.4999999999995</v>
      </c>
      <c r="D30" s="114">
        <f t="shared" si="4"/>
        <v>-515.40000000000009</v>
      </c>
      <c r="E30" s="114">
        <v>-2354.8000000000002</v>
      </c>
      <c r="F30" s="114">
        <f>-257.6-257.8</f>
        <v>-515.40000000000009</v>
      </c>
      <c r="G30" s="105">
        <f t="shared" si="7"/>
        <v>-1839.4</v>
      </c>
      <c r="H30" s="103">
        <f t="shared" si="6"/>
        <v>0.21887209104807204</v>
      </c>
      <c r="I30" s="291"/>
    </row>
    <row r="31" spans="1:9" s="1" customFormat="1">
      <c r="A31" s="113" t="s">
        <v>325</v>
      </c>
      <c r="B31" s="6" t="s">
        <v>358</v>
      </c>
      <c r="C31" s="114">
        <f>-18.3-50.6+30.5-15.4</f>
        <v>-53.800000000000004</v>
      </c>
      <c r="D31" s="114">
        <f t="shared" si="4"/>
        <v>-41.2</v>
      </c>
      <c r="E31" s="114">
        <v>-222</v>
      </c>
      <c r="F31" s="114">
        <f>-35.5-5.7</f>
        <v>-41.2</v>
      </c>
      <c r="G31" s="105">
        <f t="shared" si="7"/>
        <v>-180.8</v>
      </c>
      <c r="H31" s="103">
        <f t="shared" si="6"/>
        <v>0.18558558558558561</v>
      </c>
      <c r="I31" s="116" t="s">
        <v>745</v>
      </c>
    </row>
    <row r="32" spans="1:9" s="1" customFormat="1">
      <c r="A32" s="113" t="s">
        <v>326</v>
      </c>
      <c r="B32" s="6" t="s">
        <v>359</v>
      </c>
      <c r="C32" s="114">
        <f>-0.7-4.1-19.1-9.3</f>
        <v>-33.200000000000003</v>
      </c>
      <c r="D32" s="114">
        <f t="shared" si="4"/>
        <v>-32.6</v>
      </c>
      <c r="E32" s="114">
        <v>-163.30000000000001</v>
      </c>
      <c r="F32" s="114">
        <f>-18.3-14.3</f>
        <v>-32.6</v>
      </c>
      <c r="G32" s="105">
        <f t="shared" si="7"/>
        <v>-130.70000000000002</v>
      </c>
      <c r="H32" s="103">
        <f t="shared" si="6"/>
        <v>0.19963257807715859</v>
      </c>
      <c r="I32" s="116"/>
    </row>
    <row r="33" spans="1:9" s="1" customFormat="1">
      <c r="A33" s="113" t="s">
        <v>327</v>
      </c>
      <c r="B33" s="6" t="s">
        <v>360</v>
      </c>
      <c r="C33" s="114">
        <f>-3.3-4.1-4.8-4.7</f>
        <v>-16.899999999999999</v>
      </c>
      <c r="D33" s="114">
        <f t="shared" si="4"/>
        <v>-16.100000000000001</v>
      </c>
      <c r="E33" s="114">
        <v>-10</v>
      </c>
      <c r="F33" s="114">
        <f>-12-4.1</f>
        <v>-16.100000000000001</v>
      </c>
      <c r="G33" s="105">
        <f t="shared" si="7"/>
        <v>6.1000000000000014</v>
      </c>
      <c r="H33" s="103">
        <f t="shared" si="6"/>
        <v>1.61</v>
      </c>
      <c r="I33" s="116"/>
    </row>
    <row r="34" spans="1:9" s="1" customFormat="1">
      <c r="A34" s="112" t="s">
        <v>328</v>
      </c>
      <c r="B34" s="6" t="s">
        <v>361</v>
      </c>
      <c r="C34" s="114">
        <f>-7.3-6.6-5.9-8.8</f>
        <v>-28.599999999999998</v>
      </c>
      <c r="D34" s="114">
        <f t="shared" si="4"/>
        <v>-50.9</v>
      </c>
      <c r="E34" s="114">
        <v>-41.2</v>
      </c>
      <c r="F34" s="114">
        <f>-48.9-2</f>
        <v>-50.9</v>
      </c>
      <c r="G34" s="105">
        <f t="shared" si="7"/>
        <v>9.6999999999999957</v>
      </c>
      <c r="H34" s="103">
        <f t="shared" si="6"/>
        <v>1.2354368932038833</v>
      </c>
      <c r="I34" s="116"/>
    </row>
    <row r="35" spans="1:9" s="1" customFormat="1" ht="37.5">
      <c r="A35" s="112" t="s">
        <v>329</v>
      </c>
      <c r="B35" s="6" t="s">
        <v>362</v>
      </c>
      <c r="C35" s="114"/>
      <c r="D35" s="114">
        <f t="shared" si="4"/>
        <v>0</v>
      </c>
      <c r="E35" s="114"/>
      <c r="F35" s="114"/>
      <c r="G35" s="105">
        <f>-(F35-E35)</f>
        <v>0</v>
      </c>
      <c r="H35" s="103"/>
      <c r="I35" s="116"/>
    </row>
    <row r="36" spans="1:9" s="1" customFormat="1">
      <c r="A36" s="112" t="s">
        <v>710</v>
      </c>
      <c r="B36" s="6" t="s">
        <v>363</v>
      </c>
      <c r="C36" s="114">
        <f>-54.8-95.6-218.1+368.5</f>
        <v>0</v>
      </c>
      <c r="D36" s="114">
        <f t="shared" si="4"/>
        <v>-272.3</v>
      </c>
      <c r="E36" s="114">
        <v>-84</v>
      </c>
      <c r="F36" s="114">
        <f>-222.5-49.8</f>
        <v>-272.3</v>
      </c>
      <c r="G36" s="105">
        <f t="shared" si="7"/>
        <v>188.3</v>
      </c>
      <c r="H36" s="103">
        <f t="shared" si="6"/>
        <v>3.2416666666666667</v>
      </c>
      <c r="I36" s="116"/>
    </row>
    <row r="37" spans="1:9" s="1" customFormat="1" ht="63">
      <c r="A37" s="112" t="s">
        <v>293</v>
      </c>
      <c r="B37" s="6" t="s">
        <v>364</v>
      </c>
      <c r="C37" s="114">
        <f>-145.1-144.5-144.6-129.5</f>
        <v>-563.70000000000005</v>
      </c>
      <c r="D37" s="114">
        <f t="shared" si="4"/>
        <v>-2800.9</v>
      </c>
      <c r="E37" s="114">
        <v>-1010.7</v>
      </c>
      <c r="F37" s="114">
        <f>-2186.8-614.1</f>
        <v>-2800.9</v>
      </c>
      <c r="G37" s="105">
        <f t="shared" si="7"/>
        <v>1790.2</v>
      </c>
      <c r="H37" s="103">
        <f t="shared" si="6"/>
        <v>2.7712476501434651</v>
      </c>
      <c r="I37" s="116" t="s">
        <v>723</v>
      </c>
    </row>
    <row r="38" spans="1:9" s="1" customFormat="1">
      <c r="A38" s="112" t="s">
        <v>330</v>
      </c>
      <c r="B38" s="6" t="s">
        <v>365</v>
      </c>
      <c r="C38" s="114"/>
      <c r="D38" s="114">
        <f t="shared" si="4"/>
        <v>0</v>
      </c>
      <c r="E38" s="114"/>
      <c r="F38" s="114"/>
      <c r="G38" s="105">
        <f t="shared" si="7"/>
        <v>0</v>
      </c>
      <c r="H38" s="103"/>
      <c r="I38" s="116"/>
    </row>
    <row r="39" spans="1:9" s="1" customFormat="1" ht="31.5">
      <c r="A39" s="112" t="s">
        <v>608</v>
      </c>
      <c r="B39" s="6" t="s">
        <v>366</v>
      </c>
      <c r="C39" s="114">
        <f>-62.5-88.5-91.5-76.2</f>
        <v>-318.7</v>
      </c>
      <c r="D39" s="114">
        <f t="shared" si="4"/>
        <v>-47.1</v>
      </c>
      <c r="E39" s="114">
        <v>-375</v>
      </c>
      <c r="F39" s="114">
        <f>-38-9.1</f>
        <v>-47.1</v>
      </c>
      <c r="G39" s="105">
        <f t="shared" si="7"/>
        <v>-327.9</v>
      </c>
      <c r="H39" s="103">
        <f t="shared" si="6"/>
        <v>0.12560000000000002</v>
      </c>
      <c r="I39" s="132" t="s">
        <v>744</v>
      </c>
    </row>
    <row r="40" spans="1:9" s="1" customFormat="1" ht="37.5">
      <c r="A40" s="112" t="s">
        <v>331</v>
      </c>
      <c r="B40" s="6" t="s">
        <v>367</v>
      </c>
      <c r="C40" s="114">
        <f>-3-30-61.2-13.3</f>
        <v>-107.5</v>
      </c>
      <c r="D40" s="114">
        <f t="shared" si="4"/>
        <v>-79.3</v>
      </c>
      <c r="E40" s="114">
        <v>-191.8</v>
      </c>
      <c r="F40" s="114">
        <f>-45.9-33.4</f>
        <v>-79.3</v>
      </c>
      <c r="G40" s="105">
        <f>-(F40-E40)</f>
        <v>-112.50000000000001</v>
      </c>
      <c r="H40" s="103">
        <f t="shared" si="6"/>
        <v>0.41345151199165792</v>
      </c>
      <c r="I40" s="116"/>
    </row>
    <row r="41" spans="1:9" s="1" customFormat="1">
      <c r="A41" s="112" t="s">
        <v>657</v>
      </c>
      <c r="B41" s="6" t="s">
        <v>368</v>
      </c>
      <c r="C41" s="114">
        <f>-201.9</f>
        <v>-201.9</v>
      </c>
      <c r="D41" s="114">
        <f t="shared" si="4"/>
        <v>-4.4000000000000004</v>
      </c>
      <c r="E41" s="114"/>
      <c r="F41" s="114">
        <v>-4.4000000000000004</v>
      </c>
      <c r="G41" s="105">
        <f t="shared" si="7"/>
        <v>4.4000000000000004</v>
      </c>
      <c r="H41" s="103"/>
      <c r="I41" s="116"/>
    </row>
    <row r="42" spans="1:9" s="1" customFormat="1">
      <c r="A42" s="112" t="s">
        <v>332</v>
      </c>
      <c r="B42" s="6" t="s">
        <v>369</v>
      </c>
      <c r="C42" s="114">
        <v>-64.400000000000006</v>
      </c>
      <c r="D42" s="114">
        <f t="shared" si="4"/>
        <v>0</v>
      </c>
      <c r="E42" s="114"/>
      <c r="F42" s="114"/>
      <c r="G42" s="105">
        <f t="shared" si="7"/>
        <v>0</v>
      </c>
      <c r="H42" s="103"/>
      <c r="I42" s="116"/>
    </row>
    <row r="43" spans="1:9" s="1" customFormat="1">
      <c r="A43" s="112" t="s">
        <v>658</v>
      </c>
      <c r="B43" s="6" t="s">
        <v>370</v>
      </c>
      <c r="C43" s="114"/>
      <c r="D43" s="114">
        <f t="shared" si="4"/>
        <v>0</v>
      </c>
      <c r="E43" s="114">
        <v>-10.8</v>
      </c>
      <c r="F43" s="114"/>
      <c r="G43" s="105">
        <f t="shared" si="7"/>
        <v>-10.8</v>
      </c>
      <c r="H43" s="103">
        <f t="shared" si="6"/>
        <v>0</v>
      </c>
      <c r="I43" s="116"/>
    </row>
    <row r="44" spans="1:9" s="1" customFormat="1">
      <c r="A44" s="112" t="s">
        <v>659</v>
      </c>
      <c r="B44" s="6" t="s">
        <v>371</v>
      </c>
      <c r="C44" s="114">
        <f>-12.5-6.6-5.4</f>
        <v>-24.5</v>
      </c>
      <c r="D44" s="114">
        <f t="shared" si="4"/>
        <v>-39.099999999999994</v>
      </c>
      <c r="E44" s="114">
        <v>-100</v>
      </c>
      <c r="F44" s="114">
        <f>-14.2-24.9</f>
        <v>-39.099999999999994</v>
      </c>
      <c r="G44" s="105">
        <f t="shared" si="7"/>
        <v>-60.900000000000006</v>
      </c>
      <c r="H44" s="103">
        <f t="shared" si="6"/>
        <v>0.39099999999999996</v>
      </c>
      <c r="I44" s="116"/>
    </row>
    <row r="45" spans="1:9" s="1" customFormat="1" ht="37.5">
      <c r="A45" s="112" t="s">
        <v>333</v>
      </c>
      <c r="B45" s="6" t="s">
        <v>372</v>
      </c>
      <c r="C45" s="114">
        <f>-56.1-11.8-156.6</f>
        <v>-224.5</v>
      </c>
      <c r="D45" s="114">
        <f t="shared" si="4"/>
        <v>-83.699999999999989</v>
      </c>
      <c r="E45" s="114">
        <v>-356.6</v>
      </c>
      <c r="F45" s="114">
        <f>-20.4-63.3</f>
        <v>-83.699999999999989</v>
      </c>
      <c r="G45" s="105">
        <f t="shared" si="7"/>
        <v>-272.90000000000003</v>
      </c>
      <c r="H45" s="103">
        <f t="shared" si="6"/>
        <v>0.23471676948962419</v>
      </c>
      <c r="I45" s="116"/>
    </row>
    <row r="46" spans="1:9" s="1" customFormat="1">
      <c r="A46" s="112" t="s">
        <v>334</v>
      </c>
      <c r="B46" s="6" t="s">
        <v>373</v>
      </c>
      <c r="C46" s="114">
        <v>-58.3</v>
      </c>
      <c r="D46" s="114">
        <f t="shared" si="4"/>
        <v>-44</v>
      </c>
      <c r="E46" s="114">
        <v>-302</v>
      </c>
      <c r="F46" s="114">
        <v>-44</v>
      </c>
      <c r="G46" s="105">
        <f t="shared" si="7"/>
        <v>-258</v>
      </c>
      <c r="H46" s="103">
        <f t="shared" si="6"/>
        <v>0.14569536423841059</v>
      </c>
      <c r="I46" s="116"/>
    </row>
    <row r="47" spans="1:9" s="1" customFormat="1">
      <c r="A47" s="112" t="s">
        <v>335</v>
      </c>
      <c r="B47" s="6" t="s">
        <v>374</v>
      </c>
      <c r="C47" s="114">
        <f>-3.6-23.8-3.3-6.8</f>
        <v>-37.5</v>
      </c>
      <c r="D47" s="114">
        <f t="shared" si="4"/>
        <v>-25.400000000000002</v>
      </c>
      <c r="E47" s="114">
        <v>-68.8</v>
      </c>
      <c r="F47" s="114">
        <f>-16.6-8.8</f>
        <v>-25.400000000000002</v>
      </c>
      <c r="G47" s="105">
        <f>-(F47-E47)</f>
        <v>-43.399999999999991</v>
      </c>
      <c r="H47" s="103">
        <f t="shared" si="6"/>
        <v>0.36918604651162795</v>
      </c>
      <c r="I47" s="116"/>
    </row>
    <row r="48" spans="1:9" s="1" customFormat="1">
      <c r="A48" s="112" t="s">
        <v>336</v>
      </c>
      <c r="B48" s="6" t="s">
        <v>375</v>
      </c>
      <c r="C48" s="114"/>
      <c r="D48" s="114">
        <f t="shared" si="4"/>
        <v>0</v>
      </c>
      <c r="E48" s="114">
        <v>-200</v>
      </c>
      <c r="F48" s="114"/>
      <c r="G48" s="105">
        <f t="shared" si="7"/>
        <v>-200</v>
      </c>
      <c r="H48" s="103">
        <f t="shared" si="6"/>
        <v>0</v>
      </c>
      <c r="I48" s="116"/>
    </row>
    <row r="49" spans="1:9" s="1" customFormat="1" ht="31.5">
      <c r="A49" s="112" t="s">
        <v>337</v>
      </c>
      <c r="B49" s="6" t="s">
        <v>376</v>
      </c>
      <c r="C49" s="114">
        <f>-1148.7-275.6</f>
        <v>-1424.3000000000002</v>
      </c>
      <c r="D49" s="114">
        <f t="shared" si="4"/>
        <v>-1024.5</v>
      </c>
      <c r="E49" s="114">
        <v>-5075</v>
      </c>
      <c r="F49" s="114">
        <f>-1021.7-3231.3+631.2+10.4+2586.9</f>
        <v>-1024.5</v>
      </c>
      <c r="G49" s="105">
        <f t="shared" si="7"/>
        <v>-4050.5</v>
      </c>
      <c r="H49" s="103">
        <f t="shared" si="6"/>
        <v>0.20187192118226602</v>
      </c>
      <c r="I49" s="116" t="s">
        <v>734</v>
      </c>
    </row>
    <row r="50" spans="1:9" s="1" customFormat="1">
      <c r="A50" s="112" t="s">
        <v>669</v>
      </c>
      <c r="B50" s="6" t="s">
        <v>377</v>
      </c>
      <c r="C50" s="114">
        <f>-969.3-1154.8-1007-907.9</f>
        <v>-4039</v>
      </c>
      <c r="D50" s="114">
        <f t="shared" si="4"/>
        <v>-3344.4</v>
      </c>
      <c r="E50" s="114">
        <v>-5910.8</v>
      </c>
      <c r="F50" s="114">
        <f>-2553.4-791</f>
        <v>-3344.4</v>
      </c>
      <c r="G50" s="105">
        <f t="shared" si="7"/>
        <v>-2566.4</v>
      </c>
      <c r="H50" s="103">
        <f t="shared" si="6"/>
        <v>0.56581173445218924</v>
      </c>
      <c r="I50" s="116" t="s">
        <v>721</v>
      </c>
    </row>
    <row r="51" spans="1:9" s="1" customFormat="1" ht="36" customHeight="1">
      <c r="A51" s="112" t="s">
        <v>338</v>
      </c>
      <c r="B51" s="6" t="s">
        <v>378</v>
      </c>
      <c r="C51" s="114">
        <f>-397.4-722.1+40.1-172.4-781.8-267.5</f>
        <v>-2301.1000000000004</v>
      </c>
      <c r="D51" s="114">
        <f t="shared" si="4"/>
        <v>-4270.8</v>
      </c>
      <c r="E51" s="114">
        <v>-6581.5</v>
      </c>
      <c r="F51" s="114">
        <f>-2993.4-1005.3-272.1</f>
        <v>-4270.8</v>
      </c>
      <c r="G51" s="105">
        <f t="shared" si="7"/>
        <v>-2310.6999999999998</v>
      </c>
      <c r="H51" s="103">
        <f t="shared" si="6"/>
        <v>0.64890982298868038</v>
      </c>
      <c r="I51" s="116" t="s">
        <v>733</v>
      </c>
    </row>
    <row r="52" spans="1:9" s="1" customFormat="1">
      <c r="A52" s="112" t="s">
        <v>339</v>
      </c>
      <c r="B52" s="6" t="s">
        <v>379</v>
      </c>
      <c r="C52" s="114">
        <f>-53.4-41.4-41.6-39.1</f>
        <v>-175.5</v>
      </c>
      <c r="D52" s="114">
        <f t="shared" si="4"/>
        <v>-208.89999999999998</v>
      </c>
      <c r="E52" s="114">
        <v>-110</v>
      </c>
      <c r="F52" s="114">
        <f>-147.2-61.7</f>
        <v>-208.89999999999998</v>
      </c>
      <c r="G52" s="105">
        <f t="shared" si="7"/>
        <v>98.899999999999977</v>
      </c>
      <c r="H52" s="103">
        <f t="shared" si="6"/>
        <v>1.8990909090909089</v>
      </c>
      <c r="I52" s="116" t="s">
        <v>724</v>
      </c>
    </row>
    <row r="53" spans="1:9" s="1" customFormat="1">
      <c r="A53" s="112" t="s">
        <v>294</v>
      </c>
      <c r="B53" s="6" t="s">
        <v>380</v>
      </c>
      <c r="C53" s="114">
        <f>-292.2-105.5+190.8-200.9-146+58.3+156.6-368.5</f>
        <v>-707.4</v>
      </c>
      <c r="D53" s="114">
        <f t="shared" si="4"/>
        <v>-1788.3</v>
      </c>
      <c r="E53" s="114">
        <v>-1269.8</v>
      </c>
      <c r="F53" s="114">
        <f>-1737.8-94.5+44</f>
        <v>-1788.3</v>
      </c>
      <c r="G53" s="105">
        <f t="shared" si="7"/>
        <v>518.5</v>
      </c>
      <c r="H53" s="103">
        <f t="shared" ref="H53:H60" si="8">F53/E53</f>
        <v>1.4083320207906758</v>
      </c>
      <c r="I53" s="116"/>
    </row>
    <row r="54" spans="1:9" s="4" customFormat="1">
      <c r="A54" s="128" t="s">
        <v>37</v>
      </c>
      <c r="B54" s="167">
        <v>1020</v>
      </c>
      <c r="C54" s="283">
        <f>C8+C15</f>
        <v>43710</v>
      </c>
      <c r="D54" s="136">
        <f>D8+D15</f>
        <v>24005</v>
      </c>
      <c r="E54" s="136">
        <f>E8+E15</f>
        <v>79727.200000000041</v>
      </c>
      <c r="F54" s="181">
        <f>F8+F15</f>
        <v>24005</v>
      </c>
      <c r="G54" s="136">
        <f>F54-E54</f>
        <v>-55722.200000000041</v>
      </c>
      <c r="H54" s="137">
        <f t="shared" si="8"/>
        <v>0.30108921422049173</v>
      </c>
      <c r="I54" s="131"/>
    </row>
    <row r="55" spans="1:9">
      <c r="A55" s="126" t="s">
        <v>186</v>
      </c>
      <c r="B55" s="127">
        <v>1030</v>
      </c>
      <c r="C55" s="166">
        <f>SUM(C56:C75,C77)</f>
        <v>-20151</v>
      </c>
      <c r="D55" s="166">
        <f>SUM(D56:D75,D77)</f>
        <v>-20602</v>
      </c>
      <c r="E55" s="166">
        <f>SUM(E56:E75,E77)</f>
        <v>-27870.699999999997</v>
      </c>
      <c r="F55" s="166">
        <f>SUM(F56:F75,F77)</f>
        <v>-20602</v>
      </c>
      <c r="G55" s="119">
        <f t="shared" ref="G55:G60" si="9">E55-F55</f>
        <v>-7268.6999999999971</v>
      </c>
      <c r="H55" s="120">
        <f t="shared" si="8"/>
        <v>0.73919923073335092</v>
      </c>
      <c r="I55" s="116"/>
    </row>
    <row r="56" spans="1:9">
      <c r="A56" s="109" t="s">
        <v>108</v>
      </c>
      <c r="B56" s="8">
        <v>1031</v>
      </c>
      <c r="C56" s="114">
        <f>-52-77.8-92.7-118.2</f>
        <v>-340.7</v>
      </c>
      <c r="D56" s="114">
        <f>F56</f>
        <v>-389</v>
      </c>
      <c r="E56" s="114">
        <v>-298.60000000000002</v>
      </c>
      <c r="F56" s="114">
        <v>-389</v>
      </c>
      <c r="G56" s="119">
        <f t="shared" si="9"/>
        <v>90.399999999999977</v>
      </c>
      <c r="H56" s="103">
        <f t="shared" si="8"/>
        <v>1.3027461486939047</v>
      </c>
      <c r="I56" s="116" t="s">
        <v>732</v>
      </c>
    </row>
    <row r="57" spans="1:9">
      <c r="A57" s="109" t="s">
        <v>169</v>
      </c>
      <c r="B57" s="8">
        <v>1032</v>
      </c>
      <c r="C57" s="114">
        <v>0</v>
      </c>
      <c r="D57" s="114">
        <f t="shared" ref="D57:D83" si="10">F57</f>
        <v>0</v>
      </c>
      <c r="E57" s="114"/>
      <c r="F57" s="114"/>
      <c r="G57" s="119">
        <f t="shared" si="9"/>
        <v>0</v>
      </c>
      <c r="H57" s="103"/>
      <c r="I57" s="116"/>
    </row>
    <row r="58" spans="1:9">
      <c r="A58" s="109" t="s">
        <v>68</v>
      </c>
      <c r="B58" s="8">
        <v>1033</v>
      </c>
      <c r="C58" s="114">
        <v>0</v>
      </c>
      <c r="D58" s="114">
        <f t="shared" si="10"/>
        <v>0</v>
      </c>
      <c r="E58" s="114"/>
      <c r="F58" s="114"/>
      <c r="G58" s="119">
        <f t="shared" si="9"/>
        <v>0</v>
      </c>
      <c r="H58" s="103"/>
      <c r="I58" s="116"/>
    </row>
    <row r="59" spans="1:9">
      <c r="A59" s="109" t="s">
        <v>35</v>
      </c>
      <c r="B59" s="8">
        <v>1034</v>
      </c>
      <c r="C59" s="114">
        <v>0</v>
      </c>
      <c r="D59" s="114">
        <f t="shared" si="10"/>
        <v>0</v>
      </c>
      <c r="E59" s="114"/>
      <c r="F59" s="114"/>
      <c r="G59" s="119">
        <f t="shared" si="9"/>
        <v>0</v>
      </c>
      <c r="H59" s="103"/>
      <c r="I59" s="116"/>
    </row>
    <row r="60" spans="1:9">
      <c r="A60" s="109" t="s">
        <v>36</v>
      </c>
      <c r="B60" s="8">
        <v>1035</v>
      </c>
      <c r="C60" s="114">
        <v>0</v>
      </c>
      <c r="D60" s="114">
        <f t="shared" si="10"/>
        <v>-750</v>
      </c>
      <c r="E60" s="114">
        <v>-1000</v>
      </c>
      <c r="F60" s="114">
        <v>-750</v>
      </c>
      <c r="G60" s="119">
        <f t="shared" si="9"/>
        <v>-250</v>
      </c>
      <c r="H60" s="103">
        <f t="shared" si="8"/>
        <v>0.75</v>
      </c>
      <c r="I60" s="116"/>
    </row>
    <row r="61" spans="1:9" s="1" customFormat="1">
      <c r="A61" s="109" t="s">
        <v>47</v>
      </c>
      <c r="B61" s="8">
        <v>1036</v>
      </c>
      <c r="C61" s="114">
        <f>-23.2-49.3-31.7-96.1</f>
        <v>-200.3</v>
      </c>
      <c r="D61" s="114">
        <f t="shared" si="10"/>
        <v>-396</v>
      </c>
      <c r="E61" s="114">
        <v>-200</v>
      </c>
      <c r="F61" s="114">
        <f>-396</f>
        <v>-396</v>
      </c>
      <c r="G61" s="119">
        <f t="shared" ref="G61:G66" si="11">E61-F61</f>
        <v>196</v>
      </c>
      <c r="H61" s="103">
        <f t="shared" ref="H61:H66" si="12">F61/E61</f>
        <v>1.98</v>
      </c>
      <c r="I61" s="116" t="s">
        <v>732</v>
      </c>
    </row>
    <row r="62" spans="1:9" s="1" customFormat="1">
      <c r="A62" s="109" t="s">
        <v>48</v>
      </c>
      <c r="B62" s="8">
        <v>1037</v>
      </c>
      <c r="C62" s="114">
        <f>-13.1-13.1-14-19.7</f>
        <v>-59.900000000000006</v>
      </c>
      <c r="D62" s="114">
        <f t="shared" si="10"/>
        <v>-157.9</v>
      </c>
      <c r="E62" s="114">
        <v>-71.2</v>
      </c>
      <c r="F62" s="114">
        <v>-157.9</v>
      </c>
      <c r="G62" s="119">
        <f t="shared" si="11"/>
        <v>86.7</v>
      </c>
      <c r="H62" s="103">
        <f t="shared" si="12"/>
        <v>2.2176966292134832</v>
      </c>
      <c r="I62" s="116" t="s">
        <v>746</v>
      </c>
    </row>
    <row r="63" spans="1:9" s="1" customFormat="1" ht="31.5">
      <c r="A63" s="109" t="s">
        <v>49</v>
      </c>
      <c r="B63" s="8">
        <v>1038</v>
      </c>
      <c r="C63" s="114">
        <f>-1954.1-2231.4-2962.3-2836.2</f>
        <v>-9984</v>
      </c>
      <c r="D63" s="114">
        <f t="shared" si="10"/>
        <v>-10798</v>
      </c>
      <c r="E63" s="114">
        <v>-16691.3</v>
      </c>
      <c r="F63" s="114">
        <v>-10798</v>
      </c>
      <c r="G63" s="119">
        <f t="shared" si="11"/>
        <v>-5893.2999999999993</v>
      </c>
      <c r="H63" s="103">
        <f t="shared" si="12"/>
        <v>0.64692384655479207</v>
      </c>
      <c r="I63" s="116" t="s">
        <v>747</v>
      </c>
    </row>
    <row r="64" spans="1:9" s="1" customFormat="1">
      <c r="A64" s="109" t="s">
        <v>50</v>
      </c>
      <c r="B64" s="8">
        <v>1039</v>
      </c>
      <c r="C64" s="114">
        <f>-425.9-471.5-602.9-604.9</f>
        <v>-2105.1999999999998</v>
      </c>
      <c r="D64" s="114">
        <f t="shared" si="10"/>
        <v>-2287.6999999999998</v>
      </c>
      <c r="E64" s="114">
        <v>-3672.1</v>
      </c>
      <c r="F64" s="114">
        <v>-2287.6999999999998</v>
      </c>
      <c r="G64" s="119">
        <f t="shared" si="11"/>
        <v>-1384.4</v>
      </c>
      <c r="H64" s="103">
        <f t="shared" si="12"/>
        <v>0.62299501647558619</v>
      </c>
      <c r="I64" s="116"/>
    </row>
    <row r="65" spans="1:9" s="1" customFormat="1" ht="36.75" customHeight="1">
      <c r="A65" s="109" t="s">
        <v>51</v>
      </c>
      <c r="B65" s="8">
        <v>1040</v>
      </c>
      <c r="C65" s="114">
        <f>-30.2-67.6-79.4-155.7</f>
        <v>-332.9</v>
      </c>
      <c r="D65" s="114">
        <f t="shared" si="10"/>
        <v>-475.7</v>
      </c>
      <c r="E65" s="114">
        <v>-320.3</v>
      </c>
      <c r="F65" s="114">
        <v>-475.7</v>
      </c>
      <c r="G65" s="119">
        <f t="shared" si="11"/>
        <v>155.39999999999998</v>
      </c>
      <c r="H65" s="103">
        <f t="shared" si="12"/>
        <v>1.4851701529815797</v>
      </c>
      <c r="I65" s="116" t="s">
        <v>755</v>
      </c>
    </row>
    <row r="66" spans="1:9" s="1" customFormat="1" ht="37.5">
      <c r="A66" s="109" t="s">
        <v>52</v>
      </c>
      <c r="B66" s="8">
        <v>1041</v>
      </c>
      <c r="C66" s="114">
        <f>-102.4-68.4-100.3-132.8</f>
        <v>-403.90000000000003</v>
      </c>
      <c r="D66" s="114">
        <f t="shared" si="10"/>
        <v>-682.6</v>
      </c>
      <c r="E66" s="114">
        <v>-400</v>
      </c>
      <c r="F66" s="114">
        <v>-682.6</v>
      </c>
      <c r="G66" s="119">
        <f t="shared" si="11"/>
        <v>282.60000000000002</v>
      </c>
      <c r="H66" s="103">
        <f t="shared" si="12"/>
        <v>1.7065000000000001</v>
      </c>
      <c r="I66" s="116" t="s">
        <v>748</v>
      </c>
    </row>
    <row r="67" spans="1:9" s="1" customFormat="1" ht="18.75" customHeight="1">
      <c r="A67" s="109" t="s">
        <v>53</v>
      </c>
      <c r="B67" s="8">
        <v>1042</v>
      </c>
      <c r="C67" s="114">
        <f>-2-0.8-0.9</f>
        <v>-3.6999999999999997</v>
      </c>
      <c r="D67" s="114">
        <f t="shared" si="10"/>
        <v>-12.4</v>
      </c>
      <c r="E67" s="114"/>
      <c r="F67" s="114">
        <v>-12.4</v>
      </c>
      <c r="G67" s="119">
        <f t="shared" ref="G67:G76" si="13">E67-F67</f>
        <v>12.4</v>
      </c>
      <c r="H67" s="103"/>
      <c r="I67" s="116"/>
    </row>
    <row r="68" spans="1:9" s="1" customFormat="1">
      <c r="A68" s="109" t="s">
        <v>54</v>
      </c>
      <c r="B68" s="8">
        <v>1043</v>
      </c>
      <c r="C68" s="114">
        <v>0</v>
      </c>
      <c r="D68" s="114">
        <f t="shared" si="10"/>
        <v>0</v>
      </c>
      <c r="E68" s="114"/>
      <c r="F68" s="114"/>
      <c r="G68" s="119">
        <f t="shared" si="13"/>
        <v>0</v>
      </c>
      <c r="H68" s="103"/>
      <c r="I68" s="116"/>
    </row>
    <row r="69" spans="1:9" s="1" customFormat="1">
      <c r="A69" s="109" t="s">
        <v>55</v>
      </c>
      <c r="B69" s="8">
        <v>1044</v>
      </c>
      <c r="C69" s="114">
        <v>0</v>
      </c>
      <c r="D69" s="114">
        <f t="shared" si="10"/>
        <v>0</v>
      </c>
      <c r="E69" s="114"/>
      <c r="F69" s="114"/>
      <c r="G69" s="119">
        <f t="shared" si="13"/>
        <v>0</v>
      </c>
      <c r="H69" s="103"/>
      <c r="I69" s="116"/>
    </row>
    <row r="70" spans="1:9" s="1" customFormat="1">
      <c r="A70" s="109" t="s">
        <v>72</v>
      </c>
      <c r="B70" s="8">
        <v>1045</v>
      </c>
      <c r="C70" s="114">
        <f>-38.2-95.6-57.6-79.2</f>
        <v>-270.60000000000002</v>
      </c>
      <c r="D70" s="114">
        <f t="shared" si="10"/>
        <v>-422.3</v>
      </c>
      <c r="E70" s="114">
        <v>-300</v>
      </c>
      <c r="F70" s="114">
        <f>-123.1-118.7-76.8-103.7</f>
        <v>-422.3</v>
      </c>
      <c r="G70" s="119">
        <f t="shared" si="13"/>
        <v>122.30000000000001</v>
      </c>
      <c r="H70" s="103">
        <f>F70/E70</f>
        <v>1.4076666666666666</v>
      </c>
      <c r="I70" s="116" t="s">
        <v>754</v>
      </c>
    </row>
    <row r="71" spans="1:9" s="1" customFormat="1" ht="47.25">
      <c r="A71" s="109" t="s">
        <v>56</v>
      </c>
      <c r="B71" s="8">
        <v>1046</v>
      </c>
      <c r="C71" s="114">
        <f>-17.3-101.7-74.4-68.4</f>
        <v>-261.8</v>
      </c>
      <c r="D71" s="114">
        <f t="shared" si="10"/>
        <v>-792.4</v>
      </c>
      <c r="E71" s="114">
        <v>-220</v>
      </c>
      <c r="F71" s="114">
        <v>-792.4</v>
      </c>
      <c r="G71" s="119">
        <f t="shared" si="13"/>
        <v>572.4</v>
      </c>
      <c r="H71" s="103">
        <f>F71/E71</f>
        <v>3.6018181818181816</v>
      </c>
      <c r="I71" s="116" t="s">
        <v>753</v>
      </c>
    </row>
    <row r="72" spans="1:9" s="1" customFormat="1" ht="18.75" customHeight="1">
      <c r="A72" s="109" t="s">
        <v>57</v>
      </c>
      <c r="B72" s="8">
        <v>1047</v>
      </c>
      <c r="C72" s="114">
        <v>0</v>
      </c>
      <c r="D72" s="114">
        <f t="shared" si="10"/>
        <v>-195</v>
      </c>
      <c r="E72" s="114"/>
      <c r="F72" s="114">
        <v>-195</v>
      </c>
      <c r="G72" s="119">
        <f t="shared" si="13"/>
        <v>195</v>
      </c>
      <c r="H72" s="103"/>
      <c r="I72" s="116" t="s">
        <v>752</v>
      </c>
    </row>
    <row r="73" spans="1:9" s="1" customFormat="1">
      <c r="A73" s="109" t="s">
        <v>58</v>
      </c>
      <c r="B73" s="8">
        <v>1048</v>
      </c>
      <c r="C73" s="114">
        <v>0</v>
      </c>
      <c r="D73" s="114">
        <f t="shared" si="10"/>
        <v>0</v>
      </c>
      <c r="E73" s="114"/>
      <c r="F73" s="114"/>
      <c r="G73" s="119">
        <f t="shared" si="13"/>
        <v>0</v>
      </c>
      <c r="H73" s="103"/>
      <c r="I73" s="116"/>
    </row>
    <row r="74" spans="1:9" s="1" customFormat="1">
      <c r="A74" s="109" t="s">
        <v>59</v>
      </c>
      <c r="B74" s="8">
        <v>1049</v>
      </c>
      <c r="C74" s="114">
        <v>0</v>
      </c>
      <c r="D74" s="114">
        <f t="shared" si="10"/>
        <v>0</v>
      </c>
      <c r="E74" s="114">
        <v>-25</v>
      </c>
      <c r="F74" s="114"/>
      <c r="G74" s="119">
        <f t="shared" si="13"/>
        <v>-25</v>
      </c>
      <c r="H74" s="103">
        <f>F74/E74</f>
        <v>0</v>
      </c>
      <c r="I74" s="116"/>
    </row>
    <row r="75" spans="1:9" s="1" customFormat="1" ht="37.5">
      <c r="A75" s="109" t="s">
        <v>82</v>
      </c>
      <c r="B75" s="8">
        <v>1050</v>
      </c>
      <c r="C75" s="114">
        <v>0</v>
      </c>
      <c r="D75" s="114">
        <f t="shared" si="10"/>
        <v>0</v>
      </c>
      <c r="E75" s="114"/>
      <c r="F75" s="114"/>
      <c r="G75" s="119">
        <f t="shared" si="13"/>
        <v>0</v>
      </c>
      <c r="H75" s="103"/>
      <c r="I75" s="116"/>
    </row>
    <row r="76" spans="1:9" s="1" customFormat="1">
      <c r="A76" s="135" t="s">
        <v>60</v>
      </c>
      <c r="B76" s="5" t="s">
        <v>415</v>
      </c>
      <c r="C76" s="114">
        <v>0</v>
      </c>
      <c r="D76" s="114">
        <f t="shared" si="10"/>
        <v>0</v>
      </c>
      <c r="E76" s="114"/>
      <c r="F76" s="114"/>
      <c r="G76" s="119">
        <f t="shared" si="13"/>
        <v>0</v>
      </c>
      <c r="H76" s="103"/>
      <c r="I76" s="116"/>
    </row>
    <row r="77" spans="1:9" s="1" customFormat="1">
      <c r="A77" s="109" t="s">
        <v>112</v>
      </c>
      <c r="B77" s="8">
        <v>1051</v>
      </c>
      <c r="C77" s="114">
        <f>SUM(C78:C84)</f>
        <v>-6188</v>
      </c>
      <c r="D77" s="114">
        <f>SUM(D78:D84)</f>
        <v>-3243</v>
      </c>
      <c r="E77" s="114">
        <f>SUM(E78:E84)</f>
        <v>-4672.2</v>
      </c>
      <c r="F77" s="114">
        <f>SUM(F78:F84)</f>
        <v>-3243</v>
      </c>
      <c r="G77" s="119">
        <f t="shared" ref="G77:G85" si="14">E77-F77</f>
        <v>-1429.1999999999998</v>
      </c>
      <c r="H77" s="103">
        <f>F77/E77</f>
        <v>0.69410556054963402</v>
      </c>
      <c r="I77" s="116"/>
    </row>
    <row r="78" spans="1:9" s="1" customFormat="1">
      <c r="A78" s="106" t="s">
        <v>670</v>
      </c>
      <c r="B78" s="5" t="s">
        <v>416</v>
      </c>
      <c r="C78" s="114">
        <f>-36.1-5.8-28.2-34-12.6</f>
        <v>-116.69999999999999</v>
      </c>
      <c r="D78" s="114">
        <f t="shared" si="10"/>
        <v>-99.8</v>
      </c>
      <c r="E78" s="114">
        <v>-317.60000000000002</v>
      </c>
      <c r="F78" s="114">
        <f>-84.7-15.1</f>
        <v>-99.8</v>
      </c>
      <c r="G78" s="119">
        <f t="shared" si="14"/>
        <v>-217.8</v>
      </c>
      <c r="H78" s="103">
        <f t="shared" ref="H78:H84" si="15">F78/E78</f>
        <v>0.31423173803526444</v>
      </c>
      <c r="I78" s="116" t="s">
        <v>749</v>
      </c>
    </row>
    <row r="79" spans="1:9" s="1" customFormat="1">
      <c r="A79" s="106" t="s">
        <v>290</v>
      </c>
      <c r="B79" s="5" t="s">
        <v>417</v>
      </c>
      <c r="C79" s="114">
        <f>-124.7-22.2-30.8-109.3</f>
        <v>-287</v>
      </c>
      <c r="D79" s="114">
        <f t="shared" si="10"/>
        <v>-271.2</v>
      </c>
      <c r="E79" s="114">
        <v>-231</v>
      </c>
      <c r="F79" s="114">
        <v>-271.2</v>
      </c>
      <c r="G79" s="119">
        <f t="shared" si="14"/>
        <v>40.199999999999989</v>
      </c>
      <c r="H79" s="103">
        <f t="shared" si="15"/>
        <v>1.174025974025974</v>
      </c>
      <c r="I79" s="116"/>
    </row>
    <row r="80" spans="1:9" s="1" customFormat="1">
      <c r="A80" s="106" t="s">
        <v>291</v>
      </c>
      <c r="B80" s="5" t="s">
        <v>418</v>
      </c>
      <c r="C80" s="114">
        <f>-85-41.1-36.1-75</f>
        <v>-237.2</v>
      </c>
      <c r="D80" s="114">
        <f t="shared" si="10"/>
        <v>-272.7</v>
      </c>
      <c r="E80" s="114">
        <v>-280</v>
      </c>
      <c r="F80" s="114">
        <v>-272.7</v>
      </c>
      <c r="G80" s="119">
        <f t="shared" si="14"/>
        <v>-7.3000000000000114</v>
      </c>
      <c r="H80" s="103">
        <f t="shared" si="15"/>
        <v>0.97392857142857137</v>
      </c>
      <c r="I80" s="116"/>
    </row>
    <row r="81" spans="1:12" s="1" customFormat="1">
      <c r="A81" s="106" t="s">
        <v>292</v>
      </c>
      <c r="B81" s="5" t="s">
        <v>419</v>
      </c>
      <c r="C81" s="114">
        <f>-101-152.1-205.3-99.3</f>
        <v>-557.69999999999993</v>
      </c>
      <c r="D81" s="114">
        <f t="shared" si="10"/>
        <v>-143.4</v>
      </c>
      <c r="E81" s="114">
        <v>-350</v>
      </c>
      <c r="F81" s="114">
        <v>-143.4</v>
      </c>
      <c r="G81" s="119">
        <f t="shared" si="14"/>
        <v>-206.6</v>
      </c>
      <c r="H81" s="103">
        <f t="shared" si="15"/>
        <v>0.40971428571428575</v>
      </c>
      <c r="I81" s="116"/>
    </row>
    <row r="82" spans="1:12" s="1" customFormat="1" ht="31.5">
      <c r="A82" s="106" t="s">
        <v>293</v>
      </c>
      <c r="B82" s="5" t="s">
        <v>420</v>
      </c>
      <c r="C82" s="114">
        <f>-1004.5-499.8-1072.9-883.7</f>
        <v>-3460.8999999999996</v>
      </c>
      <c r="D82" s="114">
        <f t="shared" si="10"/>
        <v>-1560.9</v>
      </c>
      <c r="E82" s="114">
        <v>-3338.4</v>
      </c>
      <c r="F82" s="114">
        <v>-1560.9</v>
      </c>
      <c r="G82" s="119">
        <f t="shared" si="14"/>
        <v>-1777.5</v>
      </c>
      <c r="H82" s="103">
        <f t="shared" si="15"/>
        <v>0.46755930984902949</v>
      </c>
      <c r="I82" s="116" t="s">
        <v>718</v>
      </c>
    </row>
    <row r="83" spans="1:12" s="1" customFormat="1">
      <c r="A83" s="106" t="s">
        <v>294</v>
      </c>
      <c r="B83" s="5" t="s">
        <v>421</v>
      </c>
      <c r="C83" s="114">
        <v>-1528.5</v>
      </c>
      <c r="D83" s="114">
        <f t="shared" si="10"/>
        <v>-895</v>
      </c>
      <c r="E83" s="114">
        <v>-155.19999999999999</v>
      </c>
      <c r="F83" s="114">
        <v>-895</v>
      </c>
      <c r="G83" s="119">
        <f t="shared" si="14"/>
        <v>739.8</v>
      </c>
      <c r="H83" s="103">
        <f t="shared" si="15"/>
        <v>5.766752577319588</v>
      </c>
      <c r="I83" s="116"/>
    </row>
    <row r="84" spans="1:12" s="1" customFormat="1" hidden="1">
      <c r="A84" s="106"/>
      <c r="B84" s="5"/>
      <c r="C84" s="114"/>
      <c r="D84" s="114">
        <f>F84</f>
        <v>0</v>
      </c>
      <c r="E84" s="114"/>
      <c r="F84" s="114"/>
      <c r="G84" s="119">
        <f t="shared" si="14"/>
        <v>0</v>
      </c>
      <c r="H84" s="103" t="e">
        <f t="shared" si="15"/>
        <v>#DIV/0!</v>
      </c>
      <c r="I84" s="116"/>
    </row>
    <row r="85" spans="1:12">
      <c r="A85" s="126" t="s">
        <v>187</v>
      </c>
      <c r="B85" s="127">
        <v>1060</v>
      </c>
      <c r="C85" s="166">
        <f>SUM(C86:C91)</f>
        <v>-5921</v>
      </c>
      <c r="D85" s="166">
        <f>SUM(D86:D91)</f>
        <v>0</v>
      </c>
      <c r="E85" s="166">
        <f>SUM(E86:E91)</f>
        <v>0</v>
      </c>
      <c r="F85" s="166">
        <f>SUM(F86:F91)</f>
        <v>0</v>
      </c>
      <c r="G85" s="119">
        <f t="shared" si="14"/>
        <v>0</v>
      </c>
      <c r="H85" s="120"/>
      <c r="I85" s="116"/>
    </row>
    <row r="86" spans="1:12" s="1" customFormat="1">
      <c r="A86" s="109" t="s">
        <v>152</v>
      </c>
      <c r="B86" s="8">
        <v>1061</v>
      </c>
      <c r="C86" s="114" t="s">
        <v>288</v>
      </c>
      <c r="D86" s="114" t="s">
        <v>288</v>
      </c>
      <c r="E86" s="114" t="s">
        <v>288</v>
      </c>
      <c r="F86" s="114" t="s">
        <v>288</v>
      </c>
      <c r="G86" s="119"/>
      <c r="H86" s="103"/>
      <c r="I86" s="116"/>
    </row>
    <row r="87" spans="1:12" s="1" customFormat="1">
      <c r="A87" s="109" t="s">
        <v>153</v>
      </c>
      <c r="B87" s="8">
        <v>1062</v>
      </c>
      <c r="C87" s="114" t="s">
        <v>288</v>
      </c>
      <c r="D87" s="114" t="s">
        <v>288</v>
      </c>
      <c r="E87" s="114" t="s">
        <v>288</v>
      </c>
      <c r="F87" s="114" t="s">
        <v>288</v>
      </c>
      <c r="G87" s="119"/>
      <c r="H87" s="103"/>
      <c r="I87" s="116"/>
    </row>
    <row r="88" spans="1:12" s="1" customFormat="1">
      <c r="A88" s="109" t="s">
        <v>49</v>
      </c>
      <c r="B88" s="8">
        <v>1063</v>
      </c>
      <c r="C88" s="114" t="s">
        <v>288</v>
      </c>
      <c r="D88" s="114" t="s">
        <v>288</v>
      </c>
      <c r="E88" s="114" t="s">
        <v>288</v>
      </c>
      <c r="F88" s="114" t="s">
        <v>288</v>
      </c>
      <c r="G88" s="119"/>
      <c r="H88" s="103"/>
      <c r="I88" s="116"/>
    </row>
    <row r="89" spans="1:12" s="1" customFormat="1">
      <c r="A89" s="109" t="s">
        <v>69</v>
      </c>
      <c r="B89" s="8">
        <v>1064</v>
      </c>
      <c r="C89" s="114" t="s">
        <v>288</v>
      </c>
      <c r="D89" s="114" t="s">
        <v>288</v>
      </c>
      <c r="E89" s="114" t="s">
        <v>288</v>
      </c>
      <c r="F89" s="114" t="s">
        <v>288</v>
      </c>
      <c r="G89" s="119"/>
      <c r="H89" s="103"/>
      <c r="I89" s="116"/>
    </row>
    <row r="90" spans="1:12" s="1" customFormat="1">
      <c r="A90" s="109" t="s">
        <v>85</v>
      </c>
      <c r="B90" s="8">
        <v>1065</v>
      </c>
      <c r="C90" s="114" t="s">
        <v>288</v>
      </c>
      <c r="D90" s="114" t="s">
        <v>288</v>
      </c>
      <c r="E90" s="114" t="s">
        <v>288</v>
      </c>
      <c r="F90" s="114" t="s">
        <v>288</v>
      </c>
      <c r="G90" s="119"/>
      <c r="H90" s="103"/>
      <c r="I90" s="116"/>
    </row>
    <row r="91" spans="1:12" s="1" customFormat="1">
      <c r="A91" s="109" t="s">
        <v>122</v>
      </c>
      <c r="B91" s="8">
        <v>1066</v>
      </c>
      <c r="C91" s="114">
        <f>-362-1435-2182-1942</f>
        <v>-5921</v>
      </c>
      <c r="D91" s="114"/>
      <c r="E91" s="114"/>
      <c r="F91" s="114"/>
      <c r="G91" s="119">
        <f>E91-F91</f>
        <v>0</v>
      </c>
      <c r="H91" s="103"/>
      <c r="I91" s="116"/>
    </row>
    <row r="92" spans="1:12" s="1" customFormat="1">
      <c r="A92" s="126" t="s">
        <v>441</v>
      </c>
      <c r="B92" s="133">
        <v>1070</v>
      </c>
      <c r="C92" s="119">
        <f>SUM(C93:C95)</f>
        <v>22714</v>
      </c>
      <c r="D92" s="119">
        <f>SUM(D93:D95)</f>
        <v>10758</v>
      </c>
      <c r="E92" s="119">
        <f>SUM(E93:E95)</f>
        <v>8050</v>
      </c>
      <c r="F92" s="119">
        <f>SUM(F93:F95)</f>
        <v>10758</v>
      </c>
      <c r="G92" s="119">
        <f t="shared" ref="G92:G104" si="16">F92-E92</f>
        <v>2708</v>
      </c>
      <c r="H92" s="120">
        <f t="shared" ref="H92:H97" si="17">F92/E92</f>
        <v>1.3363975155279504</v>
      </c>
      <c r="I92" s="116"/>
    </row>
    <row r="93" spans="1:12" s="1" customFormat="1">
      <c r="A93" s="109" t="s">
        <v>340</v>
      </c>
      <c r="B93" s="8">
        <v>1071</v>
      </c>
      <c r="C93" s="284">
        <f>9506.8+271.2+2861.6+2839.3</f>
        <v>15478.900000000001</v>
      </c>
      <c r="D93" s="104">
        <f>F93</f>
        <v>4766.8</v>
      </c>
      <c r="E93" s="282">
        <v>4350</v>
      </c>
      <c r="F93" s="104">
        <v>4766.8</v>
      </c>
      <c r="G93" s="119">
        <f t="shared" si="16"/>
        <v>416.80000000000018</v>
      </c>
      <c r="H93" s="103"/>
      <c r="I93" s="116"/>
      <c r="L93" s="289"/>
    </row>
    <row r="94" spans="1:12" s="1" customFormat="1">
      <c r="A94" s="109" t="s">
        <v>429</v>
      </c>
      <c r="B94" s="8">
        <v>1072</v>
      </c>
      <c r="C94" s="284"/>
      <c r="D94" s="104"/>
      <c r="E94" s="282"/>
      <c r="F94" s="104"/>
      <c r="G94" s="119">
        <f>F94-E94</f>
        <v>0</v>
      </c>
      <c r="H94" s="103"/>
      <c r="I94" s="116"/>
    </row>
    <row r="95" spans="1:12" s="1" customFormat="1">
      <c r="A95" s="109" t="s">
        <v>439</v>
      </c>
      <c r="B95" s="8">
        <v>1073</v>
      </c>
      <c r="C95" s="284">
        <f>SUM(C96:C105)</f>
        <v>7235.1</v>
      </c>
      <c r="D95" s="104">
        <f>SUM(D96:D105)</f>
        <v>5991.2000000000007</v>
      </c>
      <c r="E95" s="282">
        <f>SUM(E96:E105)</f>
        <v>3700</v>
      </c>
      <c r="F95" s="104">
        <f>SUM(F96:F105)</f>
        <v>5991.2000000000007</v>
      </c>
      <c r="G95" s="119">
        <f>F95-E95</f>
        <v>2291.2000000000007</v>
      </c>
      <c r="H95" s="103">
        <f t="shared" si="17"/>
        <v>1.6192432432432435</v>
      </c>
      <c r="I95" s="116"/>
    </row>
    <row r="96" spans="1:12" s="1" customFormat="1">
      <c r="A96" s="135" t="s">
        <v>343</v>
      </c>
      <c r="B96" s="5" t="s">
        <v>430</v>
      </c>
      <c r="C96" s="284">
        <f>58.1+4.3+48.5+27.1</f>
        <v>138</v>
      </c>
      <c r="D96" s="104">
        <f t="shared" ref="D96:D103" si="18">F96</f>
        <v>39.4</v>
      </c>
      <c r="E96" s="282">
        <v>200</v>
      </c>
      <c r="F96" s="104">
        <v>39.4</v>
      </c>
      <c r="G96" s="119">
        <f>F96-E96</f>
        <v>-160.6</v>
      </c>
      <c r="H96" s="103">
        <f t="shared" si="17"/>
        <v>0.19699999999999998</v>
      </c>
      <c r="I96" s="116"/>
    </row>
    <row r="97" spans="1:9" s="1" customFormat="1">
      <c r="A97" s="135" t="s">
        <v>341</v>
      </c>
      <c r="B97" s="5" t="s">
        <v>431</v>
      </c>
      <c r="C97" s="284">
        <f>30.8+17.9+711.1+173.3</f>
        <v>933.10000000000014</v>
      </c>
      <c r="D97" s="104">
        <f t="shared" si="18"/>
        <v>1494.1</v>
      </c>
      <c r="E97" s="282">
        <v>1000</v>
      </c>
      <c r="F97" s="104">
        <v>1494.1</v>
      </c>
      <c r="G97" s="119">
        <f>F97-E97</f>
        <v>494.09999999999991</v>
      </c>
      <c r="H97" s="103">
        <f t="shared" si="17"/>
        <v>1.4941</v>
      </c>
      <c r="I97" s="116" t="s">
        <v>739</v>
      </c>
    </row>
    <row r="98" spans="1:9" s="1" customFormat="1">
      <c r="A98" s="135" t="s">
        <v>342</v>
      </c>
      <c r="B98" s="5" t="s">
        <v>432</v>
      </c>
      <c r="C98" s="284">
        <f>10.6+10.4+10.5+10.4</f>
        <v>41.9</v>
      </c>
      <c r="D98" s="104">
        <f t="shared" si="18"/>
        <v>36.299999999999997</v>
      </c>
      <c r="E98" s="282">
        <v>140</v>
      </c>
      <c r="F98" s="104">
        <v>36.299999999999997</v>
      </c>
      <c r="G98" s="119">
        <f t="shared" si="16"/>
        <v>-103.7</v>
      </c>
      <c r="H98" s="103">
        <f t="shared" ref="H98:H104" si="19">F98/E98</f>
        <v>0.25928571428571429</v>
      </c>
      <c r="I98" s="116"/>
    </row>
    <row r="99" spans="1:9" s="1" customFormat="1">
      <c r="A99" s="135" t="s">
        <v>347</v>
      </c>
      <c r="B99" s="5" t="s">
        <v>433</v>
      </c>
      <c r="C99" s="284">
        <f>610.2+0+0.6+285</f>
        <v>895.80000000000007</v>
      </c>
      <c r="D99" s="104">
        <f t="shared" si="18"/>
        <v>197</v>
      </c>
      <c r="E99" s="282"/>
      <c r="F99" s="104">
        <v>197</v>
      </c>
      <c r="G99" s="119">
        <f t="shared" si="16"/>
        <v>197</v>
      </c>
      <c r="H99" s="103"/>
      <c r="I99" s="116"/>
    </row>
    <row r="100" spans="1:9" s="1" customFormat="1">
      <c r="A100" s="135" t="s">
        <v>344</v>
      </c>
      <c r="B100" s="5" t="s">
        <v>434</v>
      </c>
      <c r="C100" s="284">
        <f>386.5+312.8+428.8+499.1</f>
        <v>1627.1999999999998</v>
      </c>
      <c r="D100" s="104">
        <f t="shared" si="18"/>
        <v>991.4</v>
      </c>
      <c r="E100" s="282"/>
      <c r="F100" s="104">
        <v>991.4</v>
      </c>
      <c r="G100" s="119">
        <f t="shared" si="16"/>
        <v>991.4</v>
      </c>
      <c r="H100" s="103"/>
      <c r="I100" s="116" t="s">
        <v>714</v>
      </c>
    </row>
    <row r="101" spans="1:9" s="1" customFormat="1">
      <c r="A101" s="135" t="s">
        <v>345</v>
      </c>
      <c r="B101" s="5" t="s">
        <v>435</v>
      </c>
      <c r="C101" s="284">
        <f>34.3+33.3+35.7+39.7</f>
        <v>143</v>
      </c>
      <c r="D101" s="104">
        <f t="shared" si="18"/>
        <v>208.9</v>
      </c>
      <c r="E101" s="282">
        <v>160</v>
      </c>
      <c r="F101" s="104">
        <f>0.9+208</f>
        <v>208.9</v>
      </c>
      <c r="G101" s="119">
        <f t="shared" si="16"/>
        <v>48.900000000000006</v>
      </c>
      <c r="H101" s="103">
        <f t="shared" si="19"/>
        <v>1.305625</v>
      </c>
      <c r="I101" s="116"/>
    </row>
    <row r="102" spans="1:9" s="1" customFormat="1">
      <c r="A102" s="135" t="s">
        <v>346</v>
      </c>
      <c r="B102" s="5" t="s">
        <v>436</v>
      </c>
      <c r="C102" s="284">
        <f>466.2+765.6+549.5+308.4</f>
        <v>2089.6999999999998</v>
      </c>
      <c r="D102" s="104">
        <f t="shared" si="18"/>
        <v>1251.5</v>
      </c>
      <c r="E102" s="282">
        <v>1600</v>
      </c>
      <c r="F102" s="104">
        <v>1251.5</v>
      </c>
      <c r="G102" s="119">
        <f t="shared" si="16"/>
        <v>-348.5</v>
      </c>
      <c r="H102" s="103">
        <f t="shared" si="19"/>
        <v>0.78218750000000004</v>
      </c>
      <c r="I102" s="116"/>
    </row>
    <row r="103" spans="1:9" s="1" customFormat="1" ht="31.5">
      <c r="A103" s="135" t="s">
        <v>348</v>
      </c>
      <c r="B103" s="5" t="s">
        <v>437</v>
      </c>
      <c r="C103" s="284">
        <f>51.5+553.5+367.7-5+398.7</f>
        <v>1366.4</v>
      </c>
      <c r="D103" s="104">
        <f t="shared" si="18"/>
        <v>1772.6</v>
      </c>
      <c r="E103" s="282">
        <v>600</v>
      </c>
      <c r="F103" s="104">
        <v>1772.6</v>
      </c>
      <c r="G103" s="119">
        <f t="shared" si="16"/>
        <v>1172.5999999999999</v>
      </c>
      <c r="H103" s="103">
        <f t="shared" si="19"/>
        <v>2.954333333333333</v>
      </c>
      <c r="I103" s="116" t="s">
        <v>738</v>
      </c>
    </row>
    <row r="104" spans="1:9" s="1" customFormat="1" hidden="1">
      <c r="B104" s="5" t="s">
        <v>438</v>
      </c>
      <c r="C104" s="284"/>
      <c r="D104" s="104"/>
      <c r="E104" s="104"/>
      <c r="F104" s="104"/>
      <c r="G104" s="119">
        <f t="shared" si="16"/>
        <v>0</v>
      </c>
      <c r="H104" s="103" t="e">
        <f t="shared" si="19"/>
        <v>#DIV/0!</v>
      </c>
      <c r="I104" s="116"/>
    </row>
    <row r="105" spans="1:9" s="1" customFormat="1" hidden="1">
      <c r="A105" s="109"/>
      <c r="B105" s="5" t="s">
        <v>440</v>
      </c>
      <c r="C105" s="284"/>
      <c r="D105" s="104"/>
      <c r="E105" s="104"/>
      <c r="F105" s="104"/>
      <c r="G105" s="119">
        <f>F105-E105</f>
        <v>0</v>
      </c>
      <c r="H105" s="103" t="e">
        <f>F105/E105</f>
        <v>#DIV/0!</v>
      </c>
      <c r="I105" s="116"/>
    </row>
    <row r="106" spans="1:9" s="1" customFormat="1">
      <c r="A106" s="129" t="s">
        <v>86</v>
      </c>
      <c r="B106" s="127">
        <v>1080</v>
      </c>
      <c r="C106" s="166">
        <f>SUM(C107:C112)</f>
        <v>-19769</v>
      </c>
      <c r="D106" s="166">
        <f>SUM(D107:D112)</f>
        <v>-21221</v>
      </c>
      <c r="E106" s="166">
        <f>SUM(E107:E112)</f>
        <v>-1101.7</v>
      </c>
      <c r="F106" s="166">
        <f>SUM(F107:F112)</f>
        <v>-21221</v>
      </c>
      <c r="G106" s="119">
        <f>E106-F106</f>
        <v>20119.3</v>
      </c>
      <c r="H106" s="120">
        <f t="shared" ref="H106:H122" si="20">F106/E106</f>
        <v>19.262049559771263</v>
      </c>
      <c r="I106" s="116"/>
    </row>
    <row r="107" spans="1:9" s="1" customFormat="1">
      <c r="A107" s="109" t="s">
        <v>177</v>
      </c>
      <c r="B107" s="8">
        <v>1081</v>
      </c>
      <c r="C107" s="114">
        <f>-5317.7-2864.2-844.1-1734.7</f>
        <v>-10760.7</v>
      </c>
      <c r="D107" s="114">
        <f>F107</f>
        <v>-4909.8999999999996</v>
      </c>
      <c r="E107" s="114"/>
      <c r="F107" s="114">
        <v>-4909.8999999999996</v>
      </c>
      <c r="G107" s="119">
        <f t="shared" ref="G107:G122" si="21">F107-E107</f>
        <v>-4909.8999999999996</v>
      </c>
      <c r="H107" s="103"/>
      <c r="I107" s="116"/>
    </row>
    <row r="108" spans="1:9" s="1" customFormat="1">
      <c r="A108" s="109" t="s">
        <v>428</v>
      </c>
      <c r="B108" s="8">
        <v>1082</v>
      </c>
      <c r="C108" s="114"/>
      <c r="D108" s="114"/>
      <c r="E108" s="114"/>
      <c r="F108" s="114"/>
      <c r="G108" s="119">
        <f t="shared" si="21"/>
        <v>0</v>
      </c>
      <c r="H108" s="103"/>
      <c r="I108" s="116"/>
    </row>
    <row r="109" spans="1:9" s="1" customFormat="1">
      <c r="A109" s="109" t="s">
        <v>78</v>
      </c>
      <c r="B109" s="8">
        <v>1083</v>
      </c>
      <c r="C109" s="114"/>
      <c r="D109" s="114"/>
      <c r="E109" s="114"/>
      <c r="F109" s="114"/>
      <c r="G109" s="119">
        <f t="shared" si="21"/>
        <v>0</v>
      </c>
      <c r="H109" s="103"/>
      <c r="I109" s="116"/>
    </row>
    <row r="110" spans="1:9" s="1" customFormat="1">
      <c r="A110" s="109" t="s">
        <v>442</v>
      </c>
      <c r="B110" s="8">
        <v>1084</v>
      </c>
      <c r="C110" s="114"/>
      <c r="D110" s="114"/>
      <c r="E110" s="114"/>
      <c r="F110" s="114"/>
      <c r="G110" s="119">
        <f t="shared" si="21"/>
        <v>0</v>
      </c>
      <c r="H110" s="103"/>
      <c r="I110" s="116"/>
    </row>
    <row r="111" spans="1:9" s="1" customFormat="1">
      <c r="A111" s="109" t="s">
        <v>67</v>
      </c>
      <c r="B111" s="8">
        <v>1085</v>
      </c>
      <c r="C111" s="114"/>
      <c r="D111" s="114"/>
      <c r="E111" s="114"/>
      <c r="F111" s="114"/>
      <c r="G111" s="119">
        <f t="shared" si="21"/>
        <v>0</v>
      </c>
      <c r="H111" s="103"/>
      <c r="I111" s="116"/>
    </row>
    <row r="112" spans="1:9" s="1" customFormat="1">
      <c r="A112" s="109" t="s">
        <v>224</v>
      </c>
      <c r="B112" s="8">
        <v>1086</v>
      </c>
      <c r="C112" s="114">
        <f>SUM(C113:C122)</f>
        <v>-9008.2999999999993</v>
      </c>
      <c r="D112" s="114">
        <f>SUM(D113:D122)</f>
        <v>-16311.1</v>
      </c>
      <c r="E112" s="114">
        <f>SUM(E113:E122)</f>
        <v>-1101.7</v>
      </c>
      <c r="F112" s="114">
        <f>SUM(F113:F122)</f>
        <v>-16311.1</v>
      </c>
      <c r="G112" s="119">
        <f t="shared" si="21"/>
        <v>-15209.4</v>
      </c>
      <c r="H112" s="103">
        <f t="shared" si="20"/>
        <v>14.805391667423073</v>
      </c>
      <c r="I112" s="116"/>
    </row>
    <row r="113" spans="1:9" s="1" customFormat="1">
      <c r="A113" s="106" t="s">
        <v>295</v>
      </c>
      <c r="B113" s="5" t="s">
        <v>443</v>
      </c>
      <c r="C113" s="114">
        <f>-55.8-83.9-29.8-80.2</f>
        <v>-249.7</v>
      </c>
      <c r="D113" s="114">
        <f t="shared" ref="D113:D118" si="22">F113</f>
        <v>-139.9</v>
      </c>
      <c r="E113" s="114"/>
      <c r="F113" s="114">
        <v>-139.9</v>
      </c>
      <c r="G113" s="119">
        <f t="shared" si="21"/>
        <v>-139.9</v>
      </c>
      <c r="H113" s="103"/>
      <c r="I113" s="116"/>
    </row>
    <row r="114" spans="1:9" s="1" customFormat="1" ht="31.5">
      <c r="A114" s="106" t="s">
        <v>296</v>
      </c>
      <c r="B114" s="5" t="s">
        <v>444</v>
      </c>
      <c r="C114" s="114">
        <f>-30.9-17.9-654.9-58.7</f>
        <v>-762.4</v>
      </c>
      <c r="D114" s="114">
        <f t="shared" si="22"/>
        <v>-1314</v>
      </c>
      <c r="E114" s="114">
        <v>-600</v>
      </c>
      <c r="F114" s="114">
        <v>-1314</v>
      </c>
      <c r="G114" s="119">
        <f t="shared" si="21"/>
        <v>-714</v>
      </c>
      <c r="H114" s="103">
        <f t="shared" si="20"/>
        <v>2.19</v>
      </c>
      <c r="I114" s="116" t="s">
        <v>751</v>
      </c>
    </row>
    <row r="115" spans="1:9" s="1" customFormat="1">
      <c r="A115" s="106" t="s">
        <v>297</v>
      </c>
      <c r="B115" s="5" t="s">
        <v>445</v>
      </c>
      <c r="C115" s="114">
        <f>-67.2-51.5-75.7-75.5</f>
        <v>-269.89999999999998</v>
      </c>
      <c r="D115" s="114">
        <f t="shared" si="22"/>
        <v>-326.5</v>
      </c>
      <c r="E115" s="114">
        <v>-151.69999999999999</v>
      </c>
      <c r="F115" s="114">
        <v>-326.5</v>
      </c>
      <c r="G115" s="119">
        <f t="shared" si="21"/>
        <v>-174.8</v>
      </c>
      <c r="H115" s="103">
        <f t="shared" si="20"/>
        <v>2.1522742254449572</v>
      </c>
      <c r="I115" s="116" t="s">
        <v>725</v>
      </c>
    </row>
    <row r="116" spans="1:9" s="1" customFormat="1">
      <c r="A116" s="106" t="s">
        <v>349</v>
      </c>
      <c r="B116" s="5" t="s">
        <v>446</v>
      </c>
      <c r="C116" s="114">
        <f>-1.2-6.4-15.1-5.3</f>
        <v>-28</v>
      </c>
      <c r="D116" s="114">
        <f t="shared" si="22"/>
        <v>-192.1</v>
      </c>
      <c r="E116" s="114"/>
      <c r="F116" s="114">
        <f>-0.5-191.6</f>
        <v>-192.1</v>
      </c>
      <c r="G116" s="119">
        <f t="shared" si="21"/>
        <v>-192.1</v>
      </c>
      <c r="H116" s="103"/>
      <c r="I116" s="116"/>
    </row>
    <row r="117" spans="1:9" s="1" customFormat="1">
      <c r="A117" s="106" t="s">
        <v>350</v>
      </c>
      <c r="B117" s="5" t="s">
        <v>447</v>
      </c>
      <c r="C117" s="114">
        <f>-705.2-846.7-1017.5-719.3</f>
        <v>-3288.7</v>
      </c>
      <c r="D117" s="114">
        <f t="shared" si="22"/>
        <v>-3352.9</v>
      </c>
      <c r="E117" s="114"/>
      <c r="F117" s="114">
        <v>-3352.9</v>
      </c>
      <c r="G117" s="119">
        <f t="shared" si="21"/>
        <v>-3352.9</v>
      </c>
      <c r="H117" s="103"/>
      <c r="I117" s="116" t="s">
        <v>722</v>
      </c>
    </row>
    <row r="118" spans="1:9" s="1" customFormat="1">
      <c r="A118" s="106" t="s">
        <v>294</v>
      </c>
      <c r="B118" s="5" t="s">
        <v>448</v>
      </c>
      <c r="C118" s="114">
        <f>-682-637.4-870.9-2219.3</f>
        <v>-4409.6000000000004</v>
      </c>
      <c r="D118" s="114">
        <f t="shared" si="22"/>
        <v>-10985.7</v>
      </c>
      <c r="E118" s="114">
        <v>-350</v>
      </c>
      <c r="F118" s="114">
        <v>-10985.7</v>
      </c>
      <c r="G118" s="119">
        <f t="shared" si="21"/>
        <v>-10635.7</v>
      </c>
      <c r="H118" s="103">
        <f t="shared" si="20"/>
        <v>31.387714285714289</v>
      </c>
      <c r="I118" s="116" t="s">
        <v>740</v>
      </c>
    </row>
    <row r="119" spans="1:9" s="1" customFormat="1" hidden="1">
      <c r="A119" s="13"/>
      <c r="B119" s="5" t="s">
        <v>449</v>
      </c>
      <c r="C119" s="114"/>
      <c r="D119" s="114"/>
      <c r="E119" s="114"/>
      <c r="F119" s="114"/>
      <c r="G119" s="119">
        <f t="shared" si="21"/>
        <v>0</v>
      </c>
      <c r="H119" s="103" t="e">
        <f t="shared" si="20"/>
        <v>#DIV/0!</v>
      </c>
      <c r="I119" s="116"/>
    </row>
    <row r="120" spans="1:9" s="1" customFormat="1" hidden="1">
      <c r="A120" s="13"/>
      <c r="B120" s="5" t="s">
        <v>450</v>
      </c>
      <c r="C120" s="114"/>
      <c r="D120" s="114"/>
      <c r="E120" s="114"/>
      <c r="F120" s="114"/>
      <c r="G120" s="119">
        <f t="shared" si="21"/>
        <v>0</v>
      </c>
      <c r="H120" s="103" t="e">
        <f t="shared" si="20"/>
        <v>#DIV/0!</v>
      </c>
      <c r="I120" s="116"/>
    </row>
    <row r="121" spans="1:9" s="1" customFormat="1" hidden="1">
      <c r="A121" s="13"/>
      <c r="B121" s="5" t="s">
        <v>451</v>
      </c>
      <c r="C121" s="114"/>
      <c r="D121" s="114"/>
      <c r="E121" s="114"/>
      <c r="F121" s="114"/>
      <c r="G121" s="119">
        <f t="shared" si="21"/>
        <v>0</v>
      </c>
      <c r="H121" s="103" t="e">
        <f t="shared" si="20"/>
        <v>#DIV/0!</v>
      </c>
      <c r="I121" s="116"/>
    </row>
    <row r="122" spans="1:9" s="1" customFormat="1" hidden="1">
      <c r="A122" s="13"/>
      <c r="B122" s="5" t="s">
        <v>452</v>
      </c>
      <c r="C122" s="114"/>
      <c r="D122" s="114"/>
      <c r="E122" s="114"/>
      <c r="F122" s="114"/>
      <c r="G122" s="119">
        <f t="shared" si="21"/>
        <v>0</v>
      </c>
      <c r="H122" s="103" t="e">
        <f t="shared" si="20"/>
        <v>#DIV/0!</v>
      </c>
      <c r="I122" s="116"/>
    </row>
    <row r="123" spans="1:9" s="4" customFormat="1">
      <c r="A123" s="128" t="s">
        <v>17</v>
      </c>
      <c r="B123" s="167">
        <v>1100</v>
      </c>
      <c r="C123" s="181">
        <f>C54+C55+C85+C92+C106</f>
        <v>20583</v>
      </c>
      <c r="D123" s="181">
        <f>D54+D55+D85+D92+D106</f>
        <v>-7060</v>
      </c>
      <c r="E123" s="181">
        <f>E54+E55+E85+E92+E106</f>
        <v>58804.800000000047</v>
      </c>
      <c r="F123" s="181">
        <f>F54+F55+F85+F92+F106</f>
        <v>-7060</v>
      </c>
      <c r="G123" s="136">
        <f t="shared" ref="G123:G133" si="23">F123-E123</f>
        <v>-65864.800000000047</v>
      </c>
      <c r="H123" s="137">
        <f t="shared" ref="H123:H134" si="24">F123/E123</f>
        <v>-0.12005822653933003</v>
      </c>
      <c r="I123" s="116"/>
    </row>
    <row r="124" spans="1:9">
      <c r="A124" s="7" t="s">
        <v>110</v>
      </c>
      <c r="B124" s="8">
        <v>1110</v>
      </c>
      <c r="C124" s="284"/>
      <c r="D124" s="104"/>
      <c r="E124" s="104"/>
      <c r="F124" s="104"/>
      <c r="G124" s="105">
        <f t="shared" si="23"/>
        <v>0</v>
      </c>
      <c r="H124" s="103"/>
      <c r="I124" s="116"/>
    </row>
    <row r="125" spans="1:9">
      <c r="A125" s="7" t="s">
        <v>114</v>
      </c>
      <c r="B125" s="8">
        <v>1120</v>
      </c>
      <c r="C125" s="114"/>
      <c r="D125" s="114"/>
      <c r="E125" s="114"/>
      <c r="F125" s="114"/>
      <c r="G125" s="105">
        <f t="shared" si="23"/>
        <v>0</v>
      </c>
      <c r="H125" s="103"/>
      <c r="I125" s="116"/>
    </row>
    <row r="126" spans="1:9">
      <c r="A126" s="2" t="s">
        <v>111</v>
      </c>
      <c r="B126" s="8">
        <v>1130</v>
      </c>
      <c r="C126" s="284"/>
      <c r="D126" s="104"/>
      <c r="E126" s="104"/>
      <c r="F126" s="104"/>
      <c r="G126" s="105">
        <f t="shared" si="23"/>
        <v>0</v>
      </c>
      <c r="H126" s="103"/>
      <c r="I126" s="116"/>
    </row>
    <row r="127" spans="1:9">
      <c r="A127" s="7" t="s">
        <v>113</v>
      </c>
      <c r="B127" s="8">
        <v>1140</v>
      </c>
      <c r="C127" s="114"/>
      <c r="D127" s="114"/>
      <c r="E127" s="114"/>
      <c r="F127" s="114"/>
      <c r="G127" s="105">
        <f t="shared" si="23"/>
        <v>0</v>
      </c>
      <c r="H127" s="103"/>
      <c r="I127" s="116"/>
    </row>
    <row r="128" spans="1:9">
      <c r="A128" s="126" t="s">
        <v>453</v>
      </c>
      <c r="B128" s="127">
        <v>1150</v>
      </c>
      <c r="C128" s="119">
        <f>C129+C130</f>
        <v>890</v>
      </c>
      <c r="D128" s="119">
        <f>D129+D130</f>
        <v>1558</v>
      </c>
      <c r="E128" s="119">
        <f>E129+E130</f>
        <v>474.4</v>
      </c>
      <c r="F128" s="119">
        <f>F129+F130</f>
        <v>1558</v>
      </c>
      <c r="G128" s="119">
        <f t="shared" si="23"/>
        <v>1083.5999999999999</v>
      </c>
      <c r="H128" s="120">
        <f t="shared" si="24"/>
        <v>3.2841483979763915</v>
      </c>
      <c r="I128" s="116"/>
    </row>
    <row r="129" spans="1:9">
      <c r="A129" s="109" t="s">
        <v>177</v>
      </c>
      <c r="B129" s="8">
        <v>1151</v>
      </c>
      <c r="C129" s="284"/>
      <c r="D129" s="104"/>
      <c r="E129" s="104"/>
      <c r="F129" s="104"/>
      <c r="G129" s="105">
        <f t="shared" si="23"/>
        <v>0</v>
      </c>
      <c r="H129" s="103"/>
      <c r="I129" s="116"/>
    </row>
    <row r="130" spans="1:9">
      <c r="A130" s="109" t="s">
        <v>454</v>
      </c>
      <c r="B130" s="8">
        <v>1152</v>
      </c>
      <c r="C130" s="284">
        <f>SUM(C131:C133)</f>
        <v>890</v>
      </c>
      <c r="D130" s="104">
        <f>SUM(D131:D133)</f>
        <v>1558</v>
      </c>
      <c r="E130" s="104">
        <f>SUM(E131:E133)</f>
        <v>474.4</v>
      </c>
      <c r="F130" s="104">
        <f>SUM(F131:F133)</f>
        <v>1558</v>
      </c>
      <c r="G130" s="105">
        <f t="shared" si="23"/>
        <v>1083.5999999999999</v>
      </c>
      <c r="H130" s="103">
        <f t="shared" si="24"/>
        <v>3.2841483979763915</v>
      </c>
      <c r="I130" s="116"/>
    </row>
    <row r="131" spans="1:9">
      <c r="A131" s="106" t="s">
        <v>298</v>
      </c>
      <c r="B131" s="5" t="s">
        <v>455</v>
      </c>
      <c r="C131" s="284">
        <f>9.1+17.9+13.7+12.8</f>
        <v>53.5</v>
      </c>
      <c r="D131" s="104">
        <f>F131</f>
        <v>51</v>
      </c>
      <c r="E131" s="104">
        <v>100</v>
      </c>
      <c r="F131" s="104">
        <v>51</v>
      </c>
      <c r="G131" s="105">
        <f t="shared" si="23"/>
        <v>-49</v>
      </c>
      <c r="H131" s="103">
        <f t="shared" si="24"/>
        <v>0.51</v>
      </c>
      <c r="I131" s="116"/>
    </row>
    <row r="132" spans="1:9">
      <c r="A132" s="106" t="s">
        <v>299</v>
      </c>
      <c r="B132" s="5" t="s">
        <v>456</v>
      </c>
      <c r="C132" s="284">
        <f>37.9+27.1+680.3+91.2</f>
        <v>836.5</v>
      </c>
      <c r="D132" s="287">
        <f>F132</f>
        <v>1507</v>
      </c>
      <c r="E132" s="104">
        <v>374.4</v>
      </c>
      <c r="F132" s="104">
        <v>1507</v>
      </c>
      <c r="G132" s="105">
        <f t="shared" si="23"/>
        <v>1132.5999999999999</v>
      </c>
      <c r="H132" s="103">
        <f t="shared" si="24"/>
        <v>4.0251068376068382</v>
      </c>
      <c r="I132" s="116" t="s">
        <v>750</v>
      </c>
    </row>
    <row r="133" spans="1:9" hidden="1">
      <c r="B133" s="5" t="s">
        <v>457</v>
      </c>
      <c r="C133" s="284"/>
      <c r="D133" s="104"/>
      <c r="E133" s="104"/>
      <c r="F133" s="104"/>
      <c r="G133" s="105">
        <f t="shared" si="23"/>
        <v>0</v>
      </c>
      <c r="H133" s="103" t="e">
        <f t="shared" si="24"/>
        <v>#DIV/0!</v>
      </c>
      <c r="I133" s="116"/>
    </row>
    <row r="134" spans="1:9">
      <c r="A134" s="126" t="s">
        <v>178</v>
      </c>
      <c r="B134" s="127">
        <v>1160</v>
      </c>
      <c r="C134" s="166">
        <f>SUM(C135:C136)</f>
        <v>-706</v>
      </c>
      <c r="D134" s="166">
        <f>SUM(D135:D136)</f>
        <v>-373</v>
      </c>
      <c r="E134" s="166">
        <f>SUM(E135:E136)</f>
        <v>-6237.4</v>
      </c>
      <c r="F134" s="166">
        <f>SUM(F135:F136)</f>
        <v>-373</v>
      </c>
      <c r="G134" s="119">
        <f t="shared" ref="G134:G142" si="25">E134-F134</f>
        <v>-5864.4</v>
      </c>
      <c r="H134" s="120">
        <f t="shared" si="24"/>
        <v>5.980055792477635E-2</v>
      </c>
      <c r="I134" s="116"/>
    </row>
    <row r="135" spans="1:9">
      <c r="A135" s="138" t="s">
        <v>177</v>
      </c>
      <c r="B135" s="8">
        <v>1161</v>
      </c>
      <c r="C135" s="114"/>
      <c r="D135" s="114"/>
      <c r="E135" s="114"/>
      <c r="F135" s="114"/>
      <c r="G135" s="105">
        <f t="shared" si="25"/>
        <v>0</v>
      </c>
      <c r="H135" s="103"/>
      <c r="I135" s="116"/>
    </row>
    <row r="136" spans="1:9">
      <c r="A136" s="109" t="s">
        <v>121</v>
      </c>
      <c r="B136" s="8">
        <v>1162</v>
      </c>
      <c r="C136" s="114">
        <f>SUM(C137:C142)</f>
        <v>-706</v>
      </c>
      <c r="D136" s="114">
        <f>SUM(D137:D142)</f>
        <v>-373</v>
      </c>
      <c r="E136" s="114">
        <f>SUM(E137:E142)</f>
        <v>-6237.4</v>
      </c>
      <c r="F136" s="114">
        <f>SUM(F137:F142)</f>
        <v>-373</v>
      </c>
      <c r="G136" s="105">
        <f>E136-F136</f>
        <v>-5864.4</v>
      </c>
      <c r="H136" s="103">
        <f>F136/E136</f>
        <v>5.980055792477635E-2</v>
      </c>
      <c r="I136" s="116"/>
    </row>
    <row r="137" spans="1:9">
      <c r="A137" s="106" t="s">
        <v>300</v>
      </c>
      <c r="B137" s="5" t="s">
        <v>458</v>
      </c>
      <c r="C137" s="114">
        <f>-117.1-0.1-4.5</f>
        <v>-121.69999999999999</v>
      </c>
      <c r="D137" s="114">
        <f>F137</f>
        <v>-18.399999999999999</v>
      </c>
      <c r="E137" s="114">
        <v>-741.9</v>
      </c>
      <c r="F137" s="114">
        <v>-18.399999999999999</v>
      </c>
      <c r="G137" s="105">
        <f t="shared" si="25"/>
        <v>-723.5</v>
      </c>
      <c r="H137" s="103">
        <f>F137/E137</f>
        <v>2.4801186143685133E-2</v>
      </c>
      <c r="I137" s="116"/>
    </row>
    <row r="138" spans="1:9">
      <c r="A138" s="106" t="s">
        <v>301</v>
      </c>
      <c r="B138" s="5" t="s">
        <v>459</v>
      </c>
      <c r="C138" s="114">
        <f>E138</f>
        <v>0</v>
      </c>
      <c r="D138" s="114">
        <f t="shared" ref="D138:D142" si="26">F138</f>
        <v>0</v>
      </c>
      <c r="E138" s="114"/>
      <c r="F138" s="114"/>
      <c r="G138" s="105">
        <f t="shared" si="25"/>
        <v>0</v>
      </c>
      <c r="H138" s="103"/>
      <c r="I138" s="116"/>
    </row>
    <row r="139" spans="1:9">
      <c r="A139" s="106" t="s">
        <v>302</v>
      </c>
      <c r="B139" s="5" t="s">
        <v>460</v>
      </c>
      <c r="C139" s="114">
        <f>-130.2-112.8-115.2-134.5</f>
        <v>-492.7</v>
      </c>
      <c r="D139" s="114">
        <f t="shared" si="26"/>
        <v>-272.7</v>
      </c>
      <c r="E139" s="114">
        <v>-740</v>
      </c>
      <c r="F139" s="114">
        <v>-272.7</v>
      </c>
      <c r="G139" s="105">
        <f t="shared" si="25"/>
        <v>-467.3</v>
      </c>
      <c r="H139" s="103">
        <f>F139/E139</f>
        <v>0.36851351351351352</v>
      </c>
      <c r="I139" s="116"/>
    </row>
    <row r="140" spans="1:9">
      <c r="A140" s="106" t="s">
        <v>350</v>
      </c>
      <c r="B140" s="5" t="s">
        <v>461</v>
      </c>
      <c r="C140" s="114"/>
      <c r="D140" s="114">
        <f t="shared" si="26"/>
        <v>0</v>
      </c>
      <c r="E140" s="114">
        <v>-4225.5</v>
      </c>
      <c r="F140" s="114"/>
      <c r="G140" s="105">
        <f t="shared" si="25"/>
        <v>-4225.5</v>
      </c>
      <c r="H140" s="103">
        <f>F140/E140</f>
        <v>0</v>
      </c>
      <c r="I140" s="116" t="s">
        <v>716</v>
      </c>
    </row>
    <row r="141" spans="1:9">
      <c r="A141" s="106" t="s">
        <v>717</v>
      </c>
      <c r="B141" s="5" t="s">
        <v>462</v>
      </c>
      <c r="C141" s="114">
        <f>-114.9-20.7+112.8-3.8-65</f>
        <v>-91.6</v>
      </c>
      <c r="D141" s="114">
        <f t="shared" si="26"/>
        <v>-81.900000000000006</v>
      </c>
      <c r="E141" s="114">
        <v>-530</v>
      </c>
      <c r="F141" s="114">
        <v>-81.900000000000006</v>
      </c>
      <c r="G141" s="105">
        <f t="shared" si="25"/>
        <v>-448.1</v>
      </c>
      <c r="H141" s="103">
        <f>F141/E141</f>
        <v>0.15452830188679245</v>
      </c>
      <c r="I141" s="116"/>
    </row>
    <row r="142" spans="1:9">
      <c r="A142" s="107" t="s">
        <v>303</v>
      </c>
      <c r="B142" s="5" t="s">
        <v>463</v>
      </c>
      <c r="C142" s="114">
        <f>E142</f>
        <v>0</v>
      </c>
      <c r="D142" s="114">
        <f t="shared" si="26"/>
        <v>0</v>
      </c>
      <c r="E142" s="114"/>
      <c r="F142" s="114"/>
      <c r="G142" s="105">
        <f t="shared" si="25"/>
        <v>0</v>
      </c>
      <c r="H142" s="103"/>
      <c r="I142" s="116"/>
    </row>
    <row r="143" spans="1:9" s="4" customFormat="1">
      <c r="A143" s="128" t="s">
        <v>96</v>
      </c>
      <c r="B143" s="167">
        <v>1170</v>
      </c>
      <c r="C143" s="283">
        <f>SUM(C123,C124,C125,C126,C127,C128,C134)</f>
        <v>20767</v>
      </c>
      <c r="D143" s="181">
        <f>SUM(D123,D124,D125,D126,D127,D128,D134)</f>
        <v>-5875</v>
      </c>
      <c r="E143" s="136">
        <f>SUM(E123,E124,E125,E126,E127,E128,E134)</f>
        <v>53041.800000000047</v>
      </c>
      <c r="F143" s="181">
        <f>SUM(F123,F124,F125,F126,F127,F128,F134)</f>
        <v>-5875</v>
      </c>
      <c r="G143" s="136">
        <f t="shared" ref="G143:G153" si="27">F143-E143</f>
        <v>-58916.800000000047</v>
      </c>
      <c r="H143" s="137">
        <f t="shared" ref="H143:H152" si="28">F143/E143</f>
        <v>-0.1107617011489051</v>
      </c>
      <c r="I143" s="116"/>
    </row>
    <row r="144" spans="1:9">
      <c r="A144" s="139" t="s">
        <v>464</v>
      </c>
      <c r="B144" s="118">
        <v>1180</v>
      </c>
      <c r="C144" s="169">
        <f>-2932-1315-857</f>
        <v>-5104</v>
      </c>
      <c r="D144" s="169">
        <f>F144</f>
        <v>-2343</v>
      </c>
      <c r="E144" s="169">
        <v>-9547.5</v>
      </c>
      <c r="F144" s="169">
        <f>-2153-190</f>
        <v>-2343</v>
      </c>
      <c r="G144" s="105">
        <f t="shared" si="27"/>
        <v>7204.5</v>
      </c>
      <c r="H144" s="137">
        <f t="shared" si="28"/>
        <v>0.24540455616653575</v>
      </c>
      <c r="I144" s="116"/>
    </row>
    <row r="145" spans="1:9">
      <c r="A145" s="139" t="s">
        <v>465</v>
      </c>
      <c r="B145" s="118">
        <v>1181</v>
      </c>
      <c r="C145" s="284">
        <v>656</v>
      </c>
      <c r="D145" s="295">
        <f>F145</f>
        <v>1846</v>
      </c>
      <c r="E145" s="104"/>
      <c r="F145" s="295">
        <f>882+964</f>
        <v>1846</v>
      </c>
      <c r="G145" s="105">
        <f t="shared" si="27"/>
        <v>1846</v>
      </c>
      <c r="H145" s="137"/>
      <c r="I145" s="116"/>
    </row>
    <row r="146" spans="1:9">
      <c r="A146" s="139" t="s">
        <v>466</v>
      </c>
      <c r="B146" s="118">
        <v>1190</v>
      </c>
      <c r="C146" s="284"/>
      <c r="D146" s="104"/>
      <c r="E146" s="104"/>
      <c r="F146" s="104"/>
      <c r="G146" s="105">
        <f t="shared" si="27"/>
        <v>0</v>
      </c>
      <c r="H146" s="103"/>
      <c r="I146" s="116"/>
    </row>
    <row r="147" spans="1:9">
      <c r="A147" s="139" t="s">
        <v>467</v>
      </c>
      <c r="B147" s="118">
        <v>1191</v>
      </c>
      <c r="C147" s="169"/>
      <c r="D147" s="169"/>
      <c r="E147" s="169"/>
      <c r="F147" s="169"/>
      <c r="G147" s="105">
        <f t="shared" si="27"/>
        <v>0</v>
      </c>
      <c r="H147" s="103"/>
      <c r="I147" s="116"/>
    </row>
    <row r="148" spans="1:9" s="4" customFormat="1">
      <c r="A148" s="128" t="s">
        <v>97</v>
      </c>
      <c r="B148" s="167">
        <v>1200</v>
      </c>
      <c r="C148" s="283">
        <f>SUM(C143:C147)</f>
        <v>16319</v>
      </c>
      <c r="D148" s="181">
        <f>SUM(D143:D147)</f>
        <v>-6372</v>
      </c>
      <c r="E148" s="136">
        <f>SUM(E143:E147)</f>
        <v>43494.300000000047</v>
      </c>
      <c r="F148" s="181">
        <f>SUM(F143:F147)</f>
        <v>-6372</v>
      </c>
      <c r="G148" s="136">
        <f t="shared" si="27"/>
        <v>-49866.300000000047</v>
      </c>
      <c r="H148" s="137">
        <f t="shared" si="28"/>
        <v>-0.14650195542864222</v>
      </c>
      <c r="I148" s="116"/>
    </row>
    <row r="149" spans="1:9">
      <c r="A149" s="121" t="s">
        <v>38</v>
      </c>
      <c r="B149" s="5">
        <v>1201</v>
      </c>
      <c r="C149" s="284">
        <f>C148</f>
        <v>16319</v>
      </c>
      <c r="D149" s="104">
        <f>F149</f>
        <v>8626</v>
      </c>
      <c r="E149" s="104">
        <f>E148</f>
        <v>43494.300000000047</v>
      </c>
      <c r="F149" s="301">
        <v>8626</v>
      </c>
      <c r="G149" s="105">
        <f t="shared" si="27"/>
        <v>-34868.300000000047</v>
      </c>
      <c r="H149" s="103">
        <f t="shared" si="28"/>
        <v>0.19832483796727365</v>
      </c>
      <c r="I149" s="116"/>
    </row>
    <row r="150" spans="1:9">
      <c r="A150" s="121" t="s">
        <v>39</v>
      </c>
      <c r="B150" s="5">
        <v>1202</v>
      </c>
      <c r="C150" s="284"/>
      <c r="D150" s="169">
        <f>F150</f>
        <v>-14998</v>
      </c>
      <c r="E150" s="104"/>
      <c r="F150" s="169">
        <f>-1383-6722-6893</f>
        <v>-14998</v>
      </c>
      <c r="G150" s="105">
        <f>F150-E150</f>
        <v>-14998</v>
      </c>
      <c r="H150" s="103"/>
      <c r="I150" s="116"/>
    </row>
    <row r="151" spans="1:9">
      <c r="A151" s="128" t="s">
        <v>32</v>
      </c>
      <c r="B151" s="168">
        <v>1210</v>
      </c>
      <c r="C151" s="184">
        <f>C8+C92+C126+C128+C145</f>
        <v>227407</v>
      </c>
      <c r="D151" s="184">
        <f t="shared" ref="D151:E151" si="29">D8+D92+D126+D128+D145</f>
        <v>184486</v>
      </c>
      <c r="E151" s="184">
        <f t="shared" si="29"/>
        <v>296756.30000000005</v>
      </c>
      <c r="F151" s="184">
        <f>F8+F92+F126+F128+F145</f>
        <v>184486</v>
      </c>
      <c r="G151" s="136">
        <f t="shared" si="27"/>
        <v>-112270.30000000005</v>
      </c>
      <c r="H151" s="137">
        <f t="shared" si="28"/>
        <v>0.6216750916492757</v>
      </c>
      <c r="I151" s="116"/>
    </row>
    <row r="152" spans="1:9">
      <c r="A152" s="128" t="s">
        <v>118</v>
      </c>
      <c r="B152" s="168">
        <v>1220</v>
      </c>
      <c r="C152" s="184">
        <f>-(C15+C55+C85+C106+C127+C134+C144)</f>
        <v>211088</v>
      </c>
      <c r="D152" s="184">
        <f t="shared" ref="D152:E152" si="30">-(D15+D55+D85+D106+D127+D134+D144)</f>
        <v>190858</v>
      </c>
      <c r="E152" s="184">
        <f t="shared" si="30"/>
        <v>253261.99999999997</v>
      </c>
      <c r="F152" s="184">
        <f>-(F15+F55+F85+F106+F127+F134+F144)</f>
        <v>190858</v>
      </c>
      <c r="G152" s="136">
        <f t="shared" si="27"/>
        <v>-62403.999999999971</v>
      </c>
      <c r="H152" s="137">
        <f t="shared" si="28"/>
        <v>0.75359903972960818</v>
      </c>
      <c r="I152" s="116"/>
    </row>
    <row r="153" spans="1:9">
      <c r="A153" s="7" t="s">
        <v>225</v>
      </c>
      <c r="B153" s="8">
        <v>1230</v>
      </c>
      <c r="C153" s="163"/>
      <c r="D153" s="104"/>
      <c r="E153" s="104"/>
      <c r="F153" s="104"/>
      <c r="G153" s="104">
        <f t="shared" si="27"/>
        <v>0</v>
      </c>
      <c r="H153" s="260"/>
      <c r="I153" s="116"/>
    </row>
    <row r="154" spans="1:9" ht="24" customHeight="1">
      <c r="A154" s="341" t="s">
        <v>145</v>
      </c>
      <c r="B154" s="341"/>
      <c r="C154" s="341"/>
      <c r="D154" s="341"/>
      <c r="E154" s="341"/>
      <c r="F154" s="341"/>
      <c r="G154" s="341"/>
      <c r="H154" s="341"/>
      <c r="I154" s="341"/>
    </row>
    <row r="155" spans="1:9">
      <c r="A155" s="7" t="s">
        <v>239</v>
      </c>
      <c r="B155" s="8">
        <v>1300</v>
      </c>
      <c r="C155" s="105">
        <f>C123</f>
        <v>20583</v>
      </c>
      <c r="D155" s="111">
        <f>D123</f>
        <v>-7060</v>
      </c>
      <c r="E155" s="105">
        <f>E123</f>
        <v>58804.800000000047</v>
      </c>
      <c r="F155" s="111">
        <f>F123</f>
        <v>-7060</v>
      </c>
      <c r="G155" s="105">
        <f t="shared" ref="G155:G161" si="31">F155-E155</f>
        <v>-65864.800000000047</v>
      </c>
      <c r="H155" s="103">
        <f t="shared" ref="H155:H161" si="32">F155/E155</f>
        <v>-0.12005822653933003</v>
      </c>
      <c r="I155" s="84"/>
    </row>
    <row r="156" spans="1:9">
      <c r="A156" s="7" t="s">
        <v>468</v>
      </c>
      <c r="B156" s="8">
        <v>1301</v>
      </c>
      <c r="C156" s="105">
        <f>C168</f>
        <v>12366</v>
      </c>
      <c r="D156" s="105">
        <f>D168</f>
        <v>13935</v>
      </c>
      <c r="E156" s="105">
        <f>E168</f>
        <v>12212.4</v>
      </c>
      <c r="F156" s="105">
        <f>F168</f>
        <v>13935</v>
      </c>
      <c r="G156" s="105">
        <f t="shared" si="31"/>
        <v>1722.6000000000004</v>
      </c>
      <c r="H156" s="103">
        <f t="shared" si="32"/>
        <v>1.1410533556057778</v>
      </c>
      <c r="I156" s="84"/>
    </row>
    <row r="157" spans="1:9">
      <c r="A157" s="7" t="s">
        <v>469</v>
      </c>
      <c r="B157" s="8">
        <v>1302</v>
      </c>
      <c r="C157" s="111">
        <f>-C93</f>
        <v>-15478.900000000001</v>
      </c>
      <c r="D157" s="111">
        <f>-D93</f>
        <v>-4766.8</v>
      </c>
      <c r="E157" s="111">
        <f>-E93</f>
        <v>-4350</v>
      </c>
      <c r="F157" s="111">
        <f>-F93</f>
        <v>-4766.8</v>
      </c>
      <c r="G157" s="105">
        <f t="shared" si="31"/>
        <v>-416.80000000000018</v>
      </c>
      <c r="H157" s="103"/>
      <c r="I157" s="84"/>
    </row>
    <row r="158" spans="1:9">
      <c r="A158" s="7" t="s">
        <v>470</v>
      </c>
      <c r="B158" s="8">
        <v>1303</v>
      </c>
      <c r="C158" s="105">
        <f>-SUM(C107)</f>
        <v>10760.7</v>
      </c>
      <c r="D158" s="105">
        <f>-SUM(D107)</f>
        <v>4909.8999999999996</v>
      </c>
      <c r="E158" s="105">
        <f>-SUM(E107)</f>
        <v>0</v>
      </c>
      <c r="F158" s="105">
        <f>-SUM(F107)</f>
        <v>4909.8999999999996</v>
      </c>
      <c r="G158" s="105">
        <f t="shared" si="31"/>
        <v>4909.8999999999996</v>
      </c>
      <c r="H158" s="103"/>
      <c r="I158" s="84"/>
    </row>
    <row r="159" spans="1:9">
      <c r="A159" s="7" t="s">
        <v>471</v>
      </c>
      <c r="B159" s="8">
        <v>1304</v>
      </c>
      <c r="C159" s="105">
        <f>-C94</f>
        <v>0</v>
      </c>
      <c r="D159" s="105">
        <f>-D94</f>
        <v>0</v>
      </c>
      <c r="E159" s="105">
        <f>-E94</f>
        <v>0</v>
      </c>
      <c r="F159" s="105">
        <f>-F94</f>
        <v>0</v>
      </c>
      <c r="G159" s="105">
        <f t="shared" si="31"/>
        <v>0</v>
      </c>
      <c r="H159" s="103"/>
      <c r="I159" s="84"/>
    </row>
    <row r="160" spans="1:9">
      <c r="A160" s="7" t="s">
        <v>472</v>
      </c>
      <c r="B160" s="8">
        <v>1305</v>
      </c>
      <c r="C160" s="105">
        <f>-C108</f>
        <v>0</v>
      </c>
      <c r="D160" s="105">
        <f>-D108</f>
        <v>0</v>
      </c>
      <c r="E160" s="105">
        <f>-E108</f>
        <v>0</v>
      </c>
      <c r="F160" s="105">
        <f>-F108</f>
        <v>0</v>
      </c>
      <c r="G160" s="105">
        <f t="shared" si="31"/>
        <v>0</v>
      </c>
      <c r="H160" s="103"/>
      <c r="I160" s="84"/>
    </row>
    <row r="161" spans="1:9" s="4" customFormat="1">
      <c r="A161" s="9" t="s">
        <v>136</v>
      </c>
      <c r="B161" s="8">
        <v>1310</v>
      </c>
      <c r="C161" s="136">
        <f>SUM(C155:C160)</f>
        <v>28230.799999999999</v>
      </c>
      <c r="D161" s="136">
        <f>SUM(D155:D160)</f>
        <v>7018.0999999999995</v>
      </c>
      <c r="E161" s="136">
        <f>SUM(E155:E160)</f>
        <v>66667.200000000041</v>
      </c>
      <c r="F161" s="181">
        <f>SUM(F155:F160)</f>
        <v>7018.0999999999995</v>
      </c>
      <c r="G161" s="136">
        <f t="shared" si="31"/>
        <v>-59649.100000000042</v>
      </c>
      <c r="H161" s="137">
        <f t="shared" si="32"/>
        <v>0.10527065783473726</v>
      </c>
      <c r="I161" s="84"/>
    </row>
    <row r="162" spans="1:9">
      <c r="A162" s="323" t="s">
        <v>192</v>
      </c>
      <c r="B162" s="324"/>
      <c r="C162" s="324"/>
      <c r="D162" s="324"/>
      <c r="E162" s="324"/>
      <c r="F162" s="324"/>
      <c r="G162" s="324"/>
      <c r="H162" s="324"/>
      <c r="I162" s="325"/>
    </row>
    <row r="163" spans="1:9">
      <c r="A163" s="7" t="s">
        <v>240</v>
      </c>
      <c r="B163" s="8">
        <v>1400</v>
      </c>
      <c r="C163" s="266">
        <f>C164+C165</f>
        <v>24958</v>
      </c>
      <c r="D163" s="81">
        <f>D164+D165</f>
        <v>23631</v>
      </c>
      <c r="E163" s="81">
        <f>E164+E165</f>
        <v>33911.199999999997</v>
      </c>
      <c r="F163" s="81">
        <f>F164+F165</f>
        <v>23631</v>
      </c>
      <c r="G163" s="105">
        <f t="shared" ref="G163:G170" si="33">F163-E163</f>
        <v>-10280.199999999997</v>
      </c>
      <c r="H163" s="103">
        <f t="shared" ref="H163:H170" si="34">F163/E163</f>
        <v>0.69684941848120985</v>
      </c>
      <c r="I163" s="84"/>
    </row>
    <row r="164" spans="1:9">
      <c r="A164" s="109" t="s">
        <v>241</v>
      </c>
      <c r="B164" s="39">
        <v>1401</v>
      </c>
      <c r="C164" s="286">
        <f>2590.7+1757.6+1888.4+1888.7</f>
        <v>8125.3999999999987</v>
      </c>
      <c r="D164" s="81">
        <f>F164</f>
        <v>5993.4</v>
      </c>
      <c r="E164" s="81">
        <v>8390.2999999999993</v>
      </c>
      <c r="F164" s="81">
        <v>5993.4</v>
      </c>
      <c r="G164" s="105">
        <f t="shared" si="33"/>
        <v>-2396.8999999999996</v>
      </c>
      <c r="H164" s="103">
        <f t="shared" si="34"/>
        <v>0.714324875153451</v>
      </c>
      <c r="I164" s="84"/>
    </row>
    <row r="165" spans="1:9">
      <c r="A165" s="109" t="s">
        <v>41</v>
      </c>
      <c r="B165" s="39">
        <v>1402</v>
      </c>
      <c r="C165" s="286">
        <f>4908.3+3145.4+3212.6+5566.3</f>
        <v>16832.600000000002</v>
      </c>
      <c r="D165" s="288">
        <f t="shared" ref="D165:D169" si="35">F165</f>
        <v>17637.599999999999</v>
      </c>
      <c r="E165" s="81">
        <v>25520.9</v>
      </c>
      <c r="F165" s="81">
        <v>17637.599999999999</v>
      </c>
      <c r="G165" s="105">
        <f t="shared" si="33"/>
        <v>-7883.3000000000029</v>
      </c>
      <c r="H165" s="103">
        <f t="shared" si="34"/>
        <v>0.69110415385037349</v>
      </c>
      <c r="I165" s="84"/>
    </row>
    <row r="166" spans="1:9">
      <c r="A166" s="7" t="s">
        <v>18</v>
      </c>
      <c r="B166" s="12">
        <v>1410</v>
      </c>
      <c r="C166" s="286">
        <f>21072+24120+27232+26546</f>
        <v>98970</v>
      </c>
      <c r="D166" s="288">
        <f>F166</f>
        <v>96262</v>
      </c>
      <c r="E166" s="81">
        <v>122489</v>
      </c>
      <c r="F166" s="81">
        <v>96262</v>
      </c>
      <c r="G166" s="105">
        <f t="shared" si="33"/>
        <v>-26227</v>
      </c>
      <c r="H166" s="103">
        <f t="shared" si="34"/>
        <v>0.78588281396696846</v>
      </c>
      <c r="I166" s="84"/>
    </row>
    <row r="167" spans="1:9">
      <c r="A167" s="7" t="s">
        <v>19</v>
      </c>
      <c r="B167" s="12">
        <v>1420</v>
      </c>
      <c r="C167" s="286">
        <f>4764+5282+5930+5881</f>
        <v>21857</v>
      </c>
      <c r="D167" s="288">
        <f t="shared" si="35"/>
        <v>21239</v>
      </c>
      <c r="E167" s="81">
        <v>26947.599999999999</v>
      </c>
      <c r="F167" s="81">
        <v>21239</v>
      </c>
      <c r="G167" s="105">
        <f t="shared" si="33"/>
        <v>-5708.5999999999985</v>
      </c>
      <c r="H167" s="103">
        <f t="shared" si="34"/>
        <v>0.78815924238151081</v>
      </c>
      <c r="I167" s="84"/>
    </row>
    <row r="168" spans="1:9">
      <c r="A168" s="7" t="s">
        <v>20</v>
      </c>
      <c r="B168" s="12">
        <v>1430</v>
      </c>
      <c r="C168" s="286">
        <f>2666+2937+3313+3450</f>
        <v>12366</v>
      </c>
      <c r="D168" s="288">
        <f t="shared" si="35"/>
        <v>13935</v>
      </c>
      <c r="E168" s="81">
        <v>12212.4</v>
      </c>
      <c r="F168" s="81">
        <v>13935</v>
      </c>
      <c r="G168" s="105">
        <f t="shared" si="33"/>
        <v>1722.6000000000004</v>
      </c>
      <c r="H168" s="103">
        <f t="shared" si="34"/>
        <v>1.1410533556057778</v>
      </c>
      <c r="I168" s="84"/>
    </row>
    <row r="169" spans="1:9">
      <c r="A169" s="7" t="s">
        <v>42</v>
      </c>
      <c r="B169" s="12">
        <v>1440</v>
      </c>
      <c r="C169" s="286">
        <f>11924+11106+8930+14793</f>
        <v>46753</v>
      </c>
      <c r="D169" s="288">
        <f t="shared" si="35"/>
        <v>36132</v>
      </c>
      <c r="E169" s="81">
        <v>41316.9</v>
      </c>
      <c r="F169" s="81">
        <v>36132</v>
      </c>
      <c r="G169" s="105">
        <f t="shared" si="33"/>
        <v>-5184.9000000000015</v>
      </c>
      <c r="H169" s="103">
        <f t="shared" si="34"/>
        <v>0.87450897816631934</v>
      </c>
      <c r="I169" s="84"/>
    </row>
    <row r="170" spans="1:9" s="4" customFormat="1">
      <c r="A170" s="9" t="s">
        <v>63</v>
      </c>
      <c r="B170" s="12">
        <v>1450</v>
      </c>
      <c r="C170" s="184">
        <f>SUM(C163,C166,C167,C168,C169)</f>
        <v>204904</v>
      </c>
      <c r="D170" s="184">
        <f>SUM(D163,D166,D167,D168,D169)</f>
        <v>191199</v>
      </c>
      <c r="E170" s="184">
        <f>SUM(E163,E166,E167,E168,E169)</f>
        <v>236877.1</v>
      </c>
      <c r="F170" s="184">
        <f>SUM(F163,F166,F167,F168,F169)</f>
        <v>191199</v>
      </c>
      <c r="G170" s="136">
        <f t="shared" si="33"/>
        <v>-45678.100000000006</v>
      </c>
      <c r="H170" s="137">
        <f t="shared" si="34"/>
        <v>0.80716540349404819</v>
      </c>
      <c r="I170" s="84"/>
    </row>
    <row r="171" spans="1:9" s="4" customFormat="1">
      <c r="A171" s="56"/>
      <c r="B171" s="64"/>
      <c r="C171" s="64"/>
      <c r="D171" s="64"/>
      <c r="E171" s="64"/>
      <c r="F171" s="64"/>
      <c r="G171" s="64"/>
      <c r="H171" s="64"/>
      <c r="I171" s="64"/>
    </row>
    <row r="172" spans="1:9" s="4" customFormat="1">
      <c r="A172" s="56"/>
      <c r="B172" s="64"/>
      <c r="C172" s="64"/>
      <c r="D172" s="64"/>
      <c r="E172" s="64"/>
      <c r="F172" s="64"/>
      <c r="G172" s="64"/>
      <c r="H172" s="64"/>
      <c r="I172" s="64"/>
    </row>
    <row r="173" spans="1:9">
      <c r="A173" s="26"/>
    </row>
    <row r="174" spans="1:9" ht="27.75" customHeight="1">
      <c r="A174" s="43" t="s">
        <v>640</v>
      </c>
      <c r="B174" s="31"/>
      <c r="C174" s="332" t="s">
        <v>105</v>
      </c>
      <c r="D174" s="332"/>
      <c r="E174" s="147"/>
      <c r="F174" s="314" t="s">
        <v>735</v>
      </c>
      <c r="G174" s="314"/>
      <c r="H174" s="314"/>
      <c r="I174" s="2"/>
    </row>
    <row r="175" spans="1:9" s="1" customFormat="1">
      <c r="A175" s="72" t="s">
        <v>268</v>
      </c>
      <c r="B175" s="2"/>
      <c r="C175" s="312" t="s">
        <v>267</v>
      </c>
      <c r="D175" s="312"/>
      <c r="E175" s="2"/>
      <c r="F175" s="331" t="s">
        <v>101</v>
      </c>
      <c r="G175" s="331"/>
      <c r="H175" s="331"/>
    </row>
    <row r="176" spans="1:9">
      <c r="A176" s="26"/>
    </row>
    <row r="177" spans="1:1">
      <c r="A177" s="26"/>
    </row>
    <row r="178" spans="1:1">
      <c r="A178" s="26"/>
    </row>
    <row r="179" spans="1:1">
      <c r="A179" s="26"/>
    </row>
    <row r="180" spans="1:1">
      <c r="A180" s="26"/>
    </row>
    <row r="181" spans="1:1">
      <c r="A181" s="26"/>
    </row>
    <row r="182" spans="1:1">
      <c r="A182" s="26"/>
    </row>
    <row r="183" spans="1:1">
      <c r="A183" s="26"/>
    </row>
    <row r="184" spans="1:1">
      <c r="A184" s="26"/>
    </row>
    <row r="185" spans="1:1">
      <c r="A185" s="26"/>
    </row>
    <row r="186" spans="1:1">
      <c r="A186" s="26"/>
    </row>
    <row r="187" spans="1:1">
      <c r="A187" s="26"/>
    </row>
    <row r="188" spans="1:1">
      <c r="A188" s="26"/>
    </row>
    <row r="189" spans="1:1">
      <c r="A189" s="26"/>
    </row>
    <row r="190" spans="1:1">
      <c r="A190" s="26"/>
    </row>
    <row r="191" spans="1:1">
      <c r="A191" s="26"/>
    </row>
    <row r="192" spans="1:1">
      <c r="A192" s="26"/>
    </row>
    <row r="193" spans="1:1">
      <c r="A193" s="26"/>
    </row>
    <row r="194" spans="1:1">
      <c r="A194" s="26"/>
    </row>
    <row r="195" spans="1:1">
      <c r="A195" s="26"/>
    </row>
    <row r="196" spans="1:1">
      <c r="A196" s="26"/>
    </row>
    <row r="197" spans="1:1">
      <c r="A197" s="26"/>
    </row>
    <row r="198" spans="1:1">
      <c r="A198" s="26"/>
    </row>
    <row r="199" spans="1:1">
      <c r="A199" s="26"/>
    </row>
    <row r="200" spans="1:1">
      <c r="A200" s="26"/>
    </row>
    <row r="201" spans="1:1">
      <c r="A201" s="26"/>
    </row>
    <row r="202" spans="1:1">
      <c r="A202" s="26"/>
    </row>
    <row r="203" spans="1:1">
      <c r="A203" s="26"/>
    </row>
    <row r="204" spans="1:1">
      <c r="A204" s="26"/>
    </row>
    <row r="205" spans="1:1">
      <c r="A205" s="26"/>
    </row>
    <row r="206" spans="1:1">
      <c r="A206" s="26"/>
    </row>
    <row r="207" spans="1:1">
      <c r="A207" s="26"/>
    </row>
    <row r="208" spans="1:1">
      <c r="A208" s="26"/>
    </row>
    <row r="209" spans="1:1">
      <c r="A209" s="26"/>
    </row>
    <row r="210" spans="1:1">
      <c r="A210" s="26"/>
    </row>
    <row r="211" spans="1:1">
      <c r="A211" s="26"/>
    </row>
    <row r="212" spans="1:1">
      <c r="A212" s="26"/>
    </row>
    <row r="213" spans="1:1">
      <c r="A213" s="26"/>
    </row>
    <row r="214" spans="1:1">
      <c r="A214" s="26"/>
    </row>
    <row r="215" spans="1:1">
      <c r="A215" s="26"/>
    </row>
    <row r="216" spans="1:1">
      <c r="A216" s="26"/>
    </row>
    <row r="217" spans="1:1">
      <c r="A217" s="26"/>
    </row>
    <row r="218" spans="1:1">
      <c r="A218" s="26"/>
    </row>
    <row r="219" spans="1:1">
      <c r="A219" s="26"/>
    </row>
    <row r="220" spans="1:1">
      <c r="A220" s="26"/>
    </row>
    <row r="221" spans="1:1">
      <c r="A221" s="26"/>
    </row>
    <row r="222" spans="1:1">
      <c r="A222" s="26"/>
    </row>
    <row r="223" spans="1:1">
      <c r="A223" s="26"/>
    </row>
    <row r="224" spans="1:1">
      <c r="A224" s="26"/>
    </row>
    <row r="225" spans="1:1">
      <c r="A225" s="26"/>
    </row>
    <row r="226" spans="1:1">
      <c r="A226" s="26"/>
    </row>
    <row r="227" spans="1:1">
      <c r="A227" s="26"/>
    </row>
    <row r="228" spans="1:1">
      <c r="A228" s="26"/>
    </row>
    <row r="229" spans="1:1">
      <c r="A229" s="26"/>
    </row>
    <row r="230" spans="1:1">
      <c r="A230" s="26"/>
    </row>
    <row r="231" spans="1:1">
      <c r="A231" s="26"/>
    </row>
    <row r="232" spans="1:1">
      <c r="A232" s="26"/>
    </row>
    <row r="233" spans="1:1">
      <c r="A233" s="26"/>
    </row>
    <row r="234" spans="1:1">
      <c r="A234" s="49"/>
    </row>
    <row r="235" spans="1:1">
      <c r="A235" s="49"/>
    </row>
    <row r="236" spans="1:1">
      <c r="A236" s="49"/>
    </row>
    <row r="237" spans="1:1">
      <c r="A237" s="49"/>
    </row>
    <row r="238" spans="1:1">
      <c r="A238" s="49"/>
    </row>
    <row r="239" spans="1:1">
      <c r="A239" s="49"/>
    </row>
    <row r="240" spans="1:1">
      <c r="A240" s="49"/>
    </row>
    <row r="241" spans="1:1">
      <c r="A241" s="49"/>
    </row>
    <row r="242" spans="1:1">
      <c r="A242" s="49"/>
    </row>
    <row r="243" spans="1:1">
      <c r="A243" s="49"/>
    </row>
    <row r="244" spans="1:1">
      <c r="A244" s="49"/>
    </row>
    <row r="245" spans="1:1">
      <c r="A245" s="49"/>
    </row>
    <row r="246" spans="1:1">
      <c r="A246" s="49"/>
    </row>
    <row r="247" spans="1:1">
      <c r="A247" s="49"/>
    </row>
    <row r="248" spans="1:1">
      <c r="A248" s="49"/>
    </row>
    <row r="249" spans="1:1">
      <c r="A249" s="49"/>
    </row>
    <row r="250" spans="1:1">
      <c r="A250" s="49"/>
    </row>
    <row r="251" spans="1:1">
      <c r="A251" s="49"/>
    </row>
    <row r="252" spans="1:1">
      <c r="A252" s="49"/>
    </row>
    <row r="253" spans="1:1">
      <c r="A253" s="49"/>
    </row>
    <row r="254" spans="1:1">
      <c r="A254" s="49"/>
    </row>
    <row r="255" spans="1:1">
      <c r="A255" s="49"/>
    </row>
    <row r="256" spans="1:1">
      <c r="A256" s="49"/>
    </row>
    <row r="257" spans="1:1">
      <c r="A257" s="49"/>
    </row>
    <row r="258" spans="1:1">
      <c r="A258" s="49"/>
    </row>
    <row r="259" spans="1:1">
      <c r="A259" s="49"/>
    </row>
    <row r="260" spans="1:1">
      <c r="A260" s="49"/>
    </row>
    <row r="261" spans="1:1">
      <c r="A261" s="49"/>
    </row>
    <row r="262" spans="1:1">
      <c r="A262" s="49"/>
    </row>
    <row r="263" spans="1:1">
      <c r="A263" s="49"/>
    </row>
    <row r="264" spans="1:1">
      <c r="A264" s="49"/>
    </row>
    <row r="265" spans="1:1">
      <c r="A265" s="49"/>
    </row>
    <row r="266" spans="1:1">
      <c r="A266" s="49"/>
    </row>
    <row r="267" spans="1:1">
      <c r="A267" s="49"/>
    </row>
    <row r="268" spans="1:1">
      <c r="A268" s="49"/>
    </row>
    <row r="269" spans="1:1">
      <c r="A269" s="49"/>
    </row>
    <row r="270" spans="1:1">
      <c r="A270" s="49"/>
    </row>
    <row r="271" spans="1:1">
      <c r="A271" s="49"/>
    </row>
    <row r="272" spans="1:1">
      <c r="A272" s="49"/>
    </row>
    <row r="273" spans="1:1">
      <c r="A273" s="49"/>
    </row>
    <row r="274" spans="1:1">
      <c r="A274" s="49"/>
    </row>
    <row r="275" spans="1:1">
      <c r="A275" s="49"/>
    </row>
    <row r="276" spans="1:1">
      <c r="A276" s="49"/>
    </row>
    <row r="277" spans="1:1">
      <c r="A277" s="49"/>
    </row>
    <row r="278" spans="1:1">
      <c r="A278" s="49"/>
    </row>
    <row r="279" spans="1:1">
      <c r="A279" s="49"/>
    </row>
    <row r="280" spans="1:1">
      <c r="A280" s="49"/>
    </row>
    <row r="281" spans="1:1">
      <c r="A281" s="49"/>
    </row>
    <row r="282" spans="1:1">
      <c r="A282" s="49"/>
    </row>
    <row r="283" spans="1:1">
      <c r="A283" s="49"/>
    </row>
    <row r="284" spans="1:1">
      <c r="A284" s="49"/>
    </row>
    <row r="285" spans="1:1">
      <c r="A285" s="49"/>
    </row>
    <row r="286" spans="1:1">
      <c r="A286" s="49"/>
    </row>
    <row r="287" spans="1:1">
      <c r="A287" s="49"/>
    </row>
    <row r="288" spans="1:1">
      <c r="A288" s="49"/>
    </row>
    <row r="289" spans="1:1">
      <c r="A289" s="49"/>
    </row>
    <row r="290" spans="1:1">
      <c r="A290" s="49"/>
    </row>
    <row r="291" spans="1:1">
      <c r="A291" s="49"/>
    </row>
    <row r="292" spans="1:1">
      <c r="A292" s="49"/>
    </row>
    <row r="293" spans="1:1">
      <c r="A293" s="49"/>
    </row>
    <row r="294" spans="1:1">
      <c r="A294" s="49"/>
    </row>
    <row r="295" spans="1:1">
      <c r="A295" s="49"/>
    </row>
    <row r="296" spans="1:1">
      <c r="A296" s="49"/>
    </row>
    <row r="297" spans="1:1">
      <c r="A297" s="49"/>
    </row>
    <row r="298" spans="1:1">
      <c r="A298" s="49"/>
    </row>
    <row r="299" spans="1:1">
      <c r="A299" s="49"/>
    </row>
    <row r="300" spans="1:1">
      <c r="A300" s="49"/>
    </row>
    <row r="301" spans="1:1">
      <c r="A301" s="49"/>
    </row>
    <row r="302" spans="1:1">
      <c r="A302" s="49"/>
    </row>
    <row r="303" spans="1:1">
      <c r="A303" s="49"/>
    </row>
    <row r="304" spans="1:1">
      <c r="A304" s="49"/>
    </row>
    <row r="305" spans="1:1">
      <c r="A305" s="49"/>
    </row>
    <row r="306" spans="1:1">
      <c r="A306" s="49"/>
    </row>
    <row r="307" spans="1:1">
      <c r="A307" s="49"/>
    </row>
    <row r="308" spans="1:1">
      <c r="A308" s="49"/>
    </row>
    <row r="309" spans="1:1">
      <c r="A309" s="49"/>
    </row>
    <row r="310" spans="1:1">
      <c r="A310" s="49"/>
    </row>
    <row r="311" spans="1:1">
      <c r="A311" s="49"/>
    </row>
    <row r="312" spans="1:1">
      <c r="A312" s="49"/>
    </row>
    <row r="313" spans="1:1">
      <c r="A313" s="49"/>
    </row>
    <row r="314" spans="1:1">
      <c r="A314" s="49"/>
    </row>
    <row r="315" spans="1:1">
      <c r="A315" s="49"/>
    </row>
    <row r="316" spans="1:1">
      <c r="A316" s="49"/>
    </row>
    <row r="317" spans="1:1">
      <c r="A317" s="49"/>
    </row>
    <row r="318" spans="1:1">
      <c r="A318" s="49"/>
    </row>
    <row r="319" spans="1:1">
      <c r="A319" s="49"/>
    </row>
    <row r="320" spans="1:1">
      <c r="A320" s="49"/>
    </row>
    <row r="321" spans="1:1">
      <c r="A321" s="49"/>
    </row>
    <row r="322" spans="1:1">
      <c r="A322" s="49"/>
    </row>
    <row r="323" spans="1:1">
      <c r="A323" s="49"/>
    </row>
    <row r="324" spans="1:1">
      <c r="A324" s="49"/>
    </row>
    <row r="325" spans="1:1">
      <c r="A325" s="49"/>
    </row>
    <row r="326" spans="1:1">
      <c r="A326" s="49"/>
    </row>
    <row r="327" spans="1:1">
      <c r="A327" s="49"/>
    </row>
    <row r="328" spans="1:1">
      <c r="A328" s="49"/>
    </row>
    <row r="329" spans="1:1">
      <c r="A329" s="49"/>
    </row>
    <row r="330" spans="1:1">
      <c r="A330" s="49"/>
    </row>
    <row r="331" spans="1:1">
      <c r="A331" s="49"/>
    </row>
    <row r="332" spans="1:1">
      <c r="A332" s="49"/>
    </row>
    <row r="333" spans="1:1">
      <c r="A333" s="49"/>
    </row>
    <row r="334" spans="1:1">
      <c r="A334" s="49"/>
    </row>
    <row r="335" spans="1:1">
      <c r="A335" s="49"/>
    </row>
    <row r="336" spans="1:1">
      <c r="A336" s="49"/>
    </row>
    <row r="337" spans="1:1">
      <c r="A337" s="49"/>
    </row>
    <row r="338" spans="1:1">
      <c r="A338" s="49"/>
    </row>
    <row r="339" spans="1:1">
      <c r="A339" s="49"/>
    </row>
    <row r="340" spans="1:1">
      <c r="A340" s="49"/>
    </row>
    <row r="341" spans="1:1">
      <c r="A341" s="49"/>
    </row>
    <row r="342" spans="1:1">
      <c r="A342" s="49"/>
    </row>
    <row r="343" spans="1:1">
      <c r="A343" s="49"/>
    </row>
    <row r="344" spans="1:1">
      <c r="A344" s="49"/>
    </row>
    <row r="345" spans="1:1">
      <c r="A345" s="49"/>
    </row>
    <row r="346" spans="1:1">
      <c r="A346" s="49"/>
    </row>
    <row r="347" spans="1:1">
      <c r="A347" s="49"/>
    </row>
    <row r="348" spans="1:1">
      <c r="A348" s="49"/>
    </row>
    <row r="349" spans="1:1">
      <c r="A349" s="49"/>
    </row>
    <row r="350" spans="1:1">
      <c r="A350" s="49"/>
    </row>
    <row r="351" spans="1:1">
      <c r="A351" s="49"/>
    </row>
    <row r="352" spans="1:1">
      <c r="A352" s="49"/>
    </row>
    <row r="353" spans="1:1">
      <c r="A353" s="49"/>
    </row>
    <row r="354" spans="1:1">
      <c r="A354" s="49"/>
    </row>
    <row r="355" spans="1:1">
      <c r="A355" s="49"/>
    </row>
    <row r="356" spans="1:1">
      <c r="A356" s="49"/>
    </row>
    <row r="357" spans="1:1">
      <c r="A357" s="49"/>
    </row>
    <row r="358" spans="1:1">
      <c r="A358" s="49"/>
    </row>
    <row r="359" spans="1:1">
      <c r="A359" s="49"/>
    </row>
    <row r="360" spans="1:1">
      <c r="A360" s="49"/>
    </row>
    <row r="361" spans="1:1">
      <c r="A361" s="49"/>
    </row>
    <row r="362" spans="1:1">
      <c r="A362" s="49"/>
    </row>
    <row r="363" spans="1:1">
      <c r="A363" s="49"/>
    </row>
    <row r="364" spans="1:1">
      <c r="A364" s="49"/>
    </row>
    <row r="365" spans="1:1">
      <c r="A365" s="49"/>
    </row>
    <row r="366" spans="1:1">
      <c r="A366" s="49"/>
    </row>
    <row r="367" spans="1:1">
      <c r="A367" s="49"/>
    </row>
    <row r="368" spans="1:1">
      <c r="A368" s="49"/>
    </row>
    <row r="369" spans="1:1">
      <c r="A369" s="49"/>
    </row>
    <row r="370" spans="1:1">
      <c r="A370" s="49"/>
    </row>
    <row r="371" spans="1:1">
      <c r="A371" s="49"/>
    </row>
    <row r="372" spans="1:1">
      <c r="A372" s="49"/>
    </row>
    <row r="373" spans="1:1">
      <c r="A373" s="49"/>
    </row>
    <row r="374" spans="1:1">
      <c r="A374" s="49"/>
    </row>
    <row r="375" spans="1:1">
      <c r="A375" s="49"/>
    </row>
    <row r="376" spans="1:1">
      <c r="A376" s="49"/>
    </row>
    <row r="377" spans="1:1">
      <c r="A377" s="49"/>
    </row>
    <row r="378" spans="1:1">
      <c r="A378" s="49"/>
    </row>
    <row r="379" spans="1:1">
      <c r="A379" s="49"/>
    </row>
    <row r="380" spans="1:1">
      <c r="A380" s="49"/>
    </row>
    <row r="381" spans="1:1">
      <c r="A381" s="49"/>
    </row>
    <row r="382" spans="1:1">
      <c r="A382" s="49"/>
    </row>
    <row r="383" spans="1:1">
      <c r="A383" s="49"/>
    </row>
    <row r="384" spans="1:1">
      <c r="A384" s="49"/>
    </row>
    <row r="385" spans="1:1">
      <c r="A385" s="49"/>
    </row>
    <row r="386" spans="1:1">
      <c r="A386" s="49"/>
    </row>
    <row r="387" spans="1:1">
      <c r="A387" s="49"/>
    </row>
    <row r="388" spans="1:1">
      <c r="A388" s="49"/>
    </row>
    <row r="389" spans="1:1">
      <c r="A389" s="49"/>
    </row>
    <row r="390" spans="1:1">
      <c r="A390" s="49"/>
    </row>
    <row r="391" spans="1:1">
      <c r="A391" s="49"/>
    </row>
    <row r="392" spans="1:1">
      <c r="A392" s="49"/>
    </row>
    <row r="393" spans="1:1">
      <c r="A393" s="49"/>
    </row>
    <row r="394" spans="1:1">
      <c r="A394" s="49"/>
    </row>
    <row r="395" spans="1:1">
      <c r="A395" s="49"/>
    </row>
    <row r="396" spans="1:1">
      <c r="A396" s="49"/>
    </row>
    <row r="397" spans="1:1">
      <c r="A397" s="49"/>
    </row>
    <row r="398" spans="1:1">
      <c r="A398" s="49"/>
    </row>
    <row r="399" spans="1:1">
      <c r="A399" s="49"/>
    </row>
    <row r="400" spans="1:1">
      <c r="A400" s="49"/>
    </row>
  </sheetData>
  <mergeCells count="12">
    <mergeCell ref="C175:D175"/>
    <mergeCell ref="F175:H175"/>
    <mergeCell ref="C174:D174"/>
    <mergeCell ref="F174:H174"/>
    <mergeCell ref="A2:I2"/>
    <mergeCell ref="C4:D4"/>
    <mergeCell ref="E4:I4"/>
    <mergeCell ref="A162:I162"/>
    <mergeCell ref="B4:B5"/>
    <mergeCell ref="A4:A5"/>
    <mergeCell ref="A7:I7"/>
    <mergeCell ref="A154:I154"/>
  </mergeCells>
  <phoneticPr fontId="0" type="noConversion"/>
  <pageMargins left="0.78740157480314965" right="0.39370078740157483" top="0.47244094488188981" bottom="0.19685039370078741" header="0.19685039370078741" footer="0.11811023622047245"/>
  <pageSetup paperSize="9" scale="41" fitToHeight="3" orientation="landscape" verticalDpi="300" r:id="rId1"/>
  <headerFooter alignWithMargins="0">
    <oddHeader xml:space="preserve">&amp;C
&amp;"Times New Roman,обычный"&amp;14 4&amp;"Arial Cyr,обычный"&amp;10
&amp;R&amp;"Times New Roman,обычный"&amp;14
Продовження додатка  3
</oddHeader>
  </headerFooter>
  <rowBreaks count="2" manualBreakCount="2">
    <brk id="54" max="8" man="1"/>
    <brk id="122" max="8" man="1"/>
  </rowBreaks>
  <ignoredErrors>
    <ignoredError sqref="H155 H123 H106 H163:H170 H134 H143 H8 H15:H23 H54 H77 G145 H56 H61:H66 H70:H71 H128 G143 G123:G129 H148:H149 G148:G14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1"/>
  </sheetPr>
  <dimension ref="A1:J208"/>
  <sheetViews>
    <sheetView view="pageBreakPreview" zoomScale="75" zoomScaleNormal="75" zoomScaleSheetLayoutView="75" workbookViewId="0">
      <pane xSplit="2" ySplit="5" topLeftCell="C27" activePane="bottomRight" state="frozen"/>
      <selection activeCell="F65" sqref="F65"/>
      <selection pane="topRight" activeCell="F65" sqref="F65"/>
      <selection pane="bottomLeft" activeCell="F65" sqref="F65"/>
      <selection pane="bottomRight" activeCell="C45" sqref="C45:F45"/>
    </sheetView>
  </sheetViews>
  <sheetFormatPr defaultRowHeight="18.75"/>
  <cols>
    <col min="1" max="1" width="86.85546875" style="44" customWidth="1"/>
    <col min="2" max="2" width="15.28515625" style="47" customWidth="1"/>
    <col min="3" max="7" width="18.7109375" style="47" customWidth="1"/>
    <col min="8" max="8" width="15" style="47" customWidth="1"/>
    <col min="9" max="9" width="10" style="44" customWidth="1"/>
    <col min="10" max="10" width="9.5703125" style="44" customWidth="1"/>
    <col min="11" max="16384" width="9.140625" style="44"/>
  </cols>
  <sheetData>
    <row r="1" spans="1:8">
      <c r="H1" s="27" t="s">
        <v>202</v>
      </c>
    </row>
    <row r="2" spans="1:8">
      <c r="H2" s="27" t="s">
        <v>182</v>
      </c>
    </row>
    <row r="3" spans="1:8">
      <c r="A3" s="342" t="s">
        <v>143</v>
      </c>
      <c r="B3" s="342"/>
      <c r="C3" s="342"/>
      <c r="D3" s="342"/>
      <c r="E3" s="342"/>
      <c r="F3" s="342"/>
      <c r="G3" s="342"/>
      <c r="H3" s="342"/>
    </row>
    <row r="4" spans="1:8" ht="38.25" customHeight="1">
      <c r="A4" s="328" t="s">
        <v>242</v>
      </c>
      <c r="B4" s="343" t="s">
        <v>31</v>
      </c>
      <c r="C4" s="327" t="s">
        <v>194</v>
      </c>
      <c r="D4" s="327"/>
      <c r="E4" s="328" t="s">
        <v>196</v>
      </c>
      <c r="F4" s="328"/>
      <c r="G4" s="328"/>
      <c r="H4" s="328"/>
    </row>
    <row r="5" spans="1:8" ht="32.25" customHeight="1">
      <c r="A5" s="328"/>
      <c r="B5" s="343"/>
      <c r="C5" s="6" t="s">
        <v>226</v>
      </c>
      <c r="D5" s="6" t="s">
        <v>227</v>
      </c>
      <c r="E5" s="6" t="s">
        <v>228</v>
      </c>
      <c r="F5" s="6" t="s">
        <v>209</v>
      </c>
      <c r="G5" s="68" t="s">
        <v>237</v>
      </c>
      <c r="H5" s="68" t="s">
        <v>238</v>
      </c>
    </row>
    <row r="6" spans="1:8">
      <c r="A6" s="50">
        <v>1</v>
      </c>
      <c r="B6" s="51">
        <v>2</v>
      </c>
      <c r="C6" s="50">
        <v>3</v>
      </c>
      <c r="D6" s="51">
        <v>4</v>
      </c>
      <c r="E6" s="50">
        <v>5</v>
      </c>
      <c r="F6" s="51">
        <v>6</v>
      </c>
      <c r="G6" s="50">
        <v>7</v>
      </c>
      <c r="H6" s="51">
        <v>8</v>
      </c>
    </row>
    <row r="7" spans="1:8" ht="24.95" customHeight="1">
      <c r="A7" s="345" t="s">
        <v>140</v>
      </c>
      <c r="B7" s="346"/>
      <c r="C7" s="346"/>
      <c r="D7" s="346"/>
      <c r="E7" s="346"/>
      <c r="F7" s="346"/>
      <c r="G7" s="346"/>
      <c r="H7" s="347"/>
    </row>
    <row r="8" spans="1:8" ht="42.75" customHeight="1">
      <c r="A8" s="45" t="s">
        <v>65</v>
      </c>
      <c r="B8" s="5">
        <v>2000</v>
      </c>
      <c r="C8" s="114">
        <v>66581</v>
      </c>
      <c r="D8" s="271">
        <v>72536</v>
      </c>
      <c r="E8" s="271">
        <v>39984.9</v>
      </c>
      <c r="F8" s="271">
        <v>72536</v>
      </c>
      <c r="G8" s="105">
        <f t="shared" ref="G8:G13" si="0">(F8-E8)</f>
        <v>32551.1</v>
      </c>
      <c r="H8" s="103">
        <f t="shared" ref="H8:H19" si="1">F8/E8</f>
        <v>1.8140848170184243</v>
      </c>
    </row>
    <row r="9" spans="1:8" ht="38.25" customHeight="1">
      <c r="A9" s="45" t="s">
        <v>473</v>
      </c>
      <c r="B9" s="5">
        <v>2010</v>
      </c>
      <c r="C9" s="170">
        <f>C10+C11</f>
        <v>-16371.000000000002</v>
      </c>
      <c r="D9" s="272">
        <f>D10+D11</f>
        <v>0</v>
      </c>
      <c r="E9" s="272">
        <f>E10+E11</f>
        <v>-32620.799999999999</v>
      </c>
      <c r="F9" s="272">
        <f>F10+F11</f>
        <v>0</v>
      </c>
      <c r="G9" s="105">
        <f t="shared" si="0"/>
        <v>32620.799999999999</v>
      </c>
      <c r="H9" s="103">
        <f t="shared" si="1"/>
        <v>0</v>
      </c>
    </row>
    <row r="10" spans="1:8" ht="42.75" customHeight="1">
      <c r="A10" s="7" t="s">
        <v>167</v>
      </c>
      <c r="B10" s="5">
        <v>2011</v>
      </c>
      <c r="C10" s="114">
        <f>-9699.6-5812.1-3283.2+2423.9</f>
        <v>-16371.000000000002</v>
      </c>
      <c r="D10" s="271">
        <f>-7557.8-87.2+3947.2+3697.8</f>
        <v>0</v>
      </c>
      <c r="E10" s="271">
        <v>-32620.799999999999</v>
      </c>
      <c r="F10" s="271"/>
      <c r="G10" s="105">
        <f t="shared" si="0"/>
        <v>32620.799999999999</v>
      </c>
      <c r="H10" s="103">
        <f t="shared" si="1"/>
        <v>0</v>
      </c>
    </row>
    <row r="11" spans="1:8" ht="42.75" customHeight="1">
      <c r="A11" s="7" t="s">
        <v>168</v>
      </c>
      <c r="B11" s="5">
        <v>2012</v>
      </c>
      <c r="C11" s="114"/>
      <c r="D11" s="271"/>
      <c r="E11" s="271"/>
      <c r="F11" s="271"/>
      <c r="G11" s="105">
        <f t="shared" si="0"/>
        <v>0</v>
      </c>
      <c r="H11" s="103"/>
    </row>
    <row r="12" spans="1:8" ht="20.100000000000001" customHeight="1">
      <c r="A12" s="106" t="s">
        <v>150</v>
      </c>
      <c r="B12" s="5" t="s">
        <v>179</v>
      </c>
      <c r="C12" s="114"/>
      <c r="D12" s="271"/>
      <c r="E12" s="271"/>
      <c r="F12" s="271"/>
      <c r="G12" s="105">
        <f t="shared" si="0"/>
        <v>0</v>
      </c>
      <c r="H12" s="103"/>
    </row>
    <row r="13" spans="1:8" ht="20.100000000000001" customHeight="1">
      <c r="A13" s="7" t="s">
        <v>159</v>
      </c>
      <c r="B13" s="5">
        <v>2020</v>
      </c>
      <c r="C13" s="114">
        <f>1303.1+1398.1+1475.5+1330.8</f>
        <v>5507.5</v>
      </c>
      <c r="D13" s="271">
        <f>1451.1+1499.2+1459+1407</f>
        <v>5816.3</v>
      </c>
      <c r="E13" s="271"/>
      <c r="F13" s="271">
        <v>5816.3</v>
      </c>
      <c r="G13" s="105">
        <f t="shared" si="0"/>
        <v>5816.3</v>
      </c>
      <c r="H13" s="103"/>
    </row>
    <row r="14" spans="1:8" s="46" customFormat="1" ht="20.100000000000001" customHeight="1">
      <c r="A14" s="254" t="s">
        <v>77</v>
      </c>
      <c r="B14" s="255">
        <v>2030</v>
      </c>
      <c r="C14" s="114">
        <f>-11262.9+11262.9</f>
        <v>0</v>
      </c>
      <c r="D14" s="273">
        <v>0</v>
      </c>
      <c r="E14" s="273">
        <v>-22046.2</v>
      </c>
      <c r="F14" s="273">
        <v>0</v>
      </c>
      <c r="G14" s="256">
        <f t="shared" ref="G14:G19" si="2">-(F14-E14)</f>
        <v>-22046.2</v>
      </c>
      <c r="H14" s="257">
        <f t="shared" si="1"/>
        <v>0</v>
      </c>
    </row>
    <row r="15" spans="1:8" ht="20.100000000000001" customHeight="1">
      <c r="A15" s="141" t="s">
        <v>130</v>
      </c>
      <c r="B15" s="5">
        <v>2031</v>
      </c>
      <c r="C15" s="114" t="s">
        <v>288</v>
      </c>
      <c r="D15" s="271" t="s">
        <v>288</v>
      </c>
      <c r="E15" s="271" t="s">
        <v>288</v>
      </c>
      <c r="F15" s="271" t="s">
        <v>288</v>
      </c>
      <c r="G15" s="111"/>
      <c r="H15" s="103"/>
    </row>
    <row r="16" spans="1:8" ht="20.100000000000001" customHeight="1">
      <c r="A16" s="45" t="s">
        <v>40</v>
      </c>
      <c r="B16" s="5">
        <v>2040</v>
      </c>
      <c r="C16" s="114" t="s">
        <v>288</v>
      </c>
      <c r="D16" s="271" t="s">
        <v>288</v>
      </c>
      <c r="E16" s="271"/>
      <c r="F16" s="271" t="s">
        <v>288</v>
      </c>
      <c r="G16" s="111"/>
      <c r="H16" s="103"/>
    </row>
    <row r="17" spans="1:8" ht="20.100000000000001" customHeight="1">
      <c r="A17" s="45" t="s">
        <v>116</v>
      </c>
      <c r="B17" s="5">
        <v>2050</v>
      </c>
      <c r="C17" s="114">
        <f>-52.7-102.3+155</f>
        <v>0</v>
      </c>
      <c r="D17" s="271"/>
      <c r="E17" s="271">
        <v>-1270</v>
      </c>
      <c r="F17" s="271"/>
      <c r="G17" s="111">
        <f t="shared" si="2"/>
        <v>-1270</v>
      </c>
      <c r="H17" s="103">
        <f t="shared" si="1"/>
        <v>0</v>
      </c>
    </row>
    <row r="18" spans="1:8" ht="20.100000000000001" customHeight="1">
      <c r="A18" s="45" t="s">
        <v>117</v>
      </c>
      <c r="B18" s="5">
        <v>2060</v>
      </c>
      <c r="C18" s="114">
        <f>-149.8-42.8+692.1</f>
        <v>499.5</v>
      </c>
      <c r="D18" s="271">
        <f>-1.3-46-390.2-5949.8</f>
        <v>-6387.3</v>
      </c>
      <c r="E18" s="271">
        <v>-2000</v>
      </c>
      <c r="F18" s="271">
        <v>-6387.3</v>
      </c>
      <c r="G18" s="111">
        <f t="shared" si="2"/>
        <v>4387.3</v>
      </c>
      <c r="H18" s="103">
        <f t="shared" si="1"/>
        <v>3.1936499999999999</v>
      </c>
    </row>
    <row r="19" spans="1:8" ht="42.75" customHeight="1">
      <c r="A19" s="234" t="s">
        <v>66</v>
      </c>
      <c r="B19" s="191">
        <v>2070</v>
      </c>
      <c r="C19" s="237">
        <f>SUM(C8,C9,C13,C14,C16,C17,C18)+'I. Фін результат'!C148</f>
        <v>72536</v>
      </c>
      <c r="D19" s="237">
        <f>SUM(D8,D9,D13,D14,D16,D17,D18)+'I. Фін результат'!D148</f>
        <v>65593</v>
      </c>
      <c r="E19" s="237">
        <f>SUM(E8,E9,E13,E14,E16,E17,E18)+'I. Фін результат'!E148</f>
        <v>25542.200000000048</v>
      </c>
      <c r="F19" s="237">
        <f>SUM(F8,F9,F13,F14,F16,F17,F18)+'I. Фін результат'!F148</f>
        <v>65593</v>
      </c>
      <c r="G19" s="238">
        <f t="shared" si="2"/>
        <v>-40050.799999999952</v>
      </c>
      <c r="H19" s="236">
        <f t="shared" si="1"/>
        <v>2.5680246807244433</v>
      </c>
    </row>
    <row r="20" spans="1:8" ht="25.5" customHeight="1">
      <c r="A20" s="345" t="s">
        <v>474</v>
      </c>
      <c r="B20" s="346"/>
      <c r="C20" s="346"/>
      <c r="D20" s="346"/>
      <c r="E20" s="346"/>
      <c r="F20" s="346"/>
      <c r="G20" s="346"/>
      <c r="H20" s="347"/>
    </row>
    <row r="21" spans="1:8" ht="36.75" customHeight="1">
      <c r="A21" s="142" t="s">
        <v>475</v>
      </c>
      <c r="B21" s="143">
        <v>2110</v>
      </c>
      <c r="C21" s="146">
        <f>SUM(C22:C30)</f>
        <v>83066.899999999994</v>
      </c>
      <c r="D21" s="146">
        <f>SUM(D22:D30)</f>
        <v>50679.5</v>
      </c>
      <c r="E21" s="146">
        <f>SUM(E22:E30)</f>
        <v>105853.80000000002</v>
      </c>
      <c r="F21" s="146">
        <f>SUM(F22:F30)</f>
        <v>50679.5</v>
      </c>
      <c r="G21" s="181">
        <f>F21-E21</f>
        <v>-55174.300000000017</v>
      </c>
      <c r="H21" s="137">
        <f>F21/E21</f>
        <v>0.47876883021677058</v>
      </c>
    </row>
    <row r="22" spans="1:8">
      <c r="A22" s="45" t="s">
        <v>142</v>
      </c>
      <c r="B22" s="51">
        <v>2111</v>
      </c>
      <c r="C22" s="170">
        <f>9681.6+5007.8+1734.5+590.3</f>
        <v>17014.2</v>
      </c>
      <c r="D22" s="170">
        <f>0+825.8+15.7+0</f>
        <v>841.5</v>
      </c>
      <c r="E22" s="170">
        <v>9547.5</v>
      </c>
      <c r="F22" s="170">
        <v>841.5</v>
      </c>
      <c r="G22" s="111">
        <f t="shared" ref="G22:G53" si="3">F22-E22</f>
        <v>-8706</v>
      </c>
      <c r="H22" s="103">
        <f t="shared" ref="H22:H53" si="4">F22/E22</f>
        <v>8.8138256087981148E-2</v>
      </c>
    </row>
    <row r="23" spans="1:8">
      <c r="A23" s="45" t="s">
        <v>476</v>
      </c>
      <c r="B23" s="51">
        <v>2112</v>
      </c>
      <c r="C23" s="170">
        <f>6228.4+6445.1+8119+4070</f>
        <v>24862.5</v>
      </c>
      <c r="D23" s="170">
        <f>8611.2+6471.8+6274.1+3093.3</f>
        <v>24450.399999999998</v>
      </c>
      <c r="E23" s="170">
        <v>37925.800000000003</v>
      </c>
      <c r="F23" s="170">
        <v>24450.400000000001</v>
      </c>
      <c r="G23" s="111">
        <f t="shared" si="3"/>
        <v>-13475.400000000001</v>
      </c>
      <c r="H23" s="103">
        <f t="shared" si="4"/>
        <v>0.6446904218236662</v>
      </c>
    </row>
    <row r="24" spans="1:8" ht="37.5">
      <c r="A24" s="45" t="s">
        <v>477</v>
      </c>
      <c r="B24" s="51">
        <v>2113</v>
      </c>
      <c r="C24" s="108" t="s">
        <v>288</v>
      </c>
      <c r="D24" s="108" t="s">
        <v>288</v>
      </c>
      <c r="E24" s="108" t="s">
        <v>288</v>
      </c>
      <c r="F24" s="108" t="s">
        <v>288</v>
      </c>
      <c r="G24" s="111"/>
      <c r="H24" s="103"/>
    </row>
    <row r="25" spans="1:8">
      <c r="A25" s="7" t="s">
        <v>89</v>
      </c>
      <c r="B25" s="51">
        <v>2114</v>
      </c>
      <c r="C25" s="284"/>
      <c r="D25" s="104"/>
      <c r="E25" s="104"/>
      <c r="F25" s="104"/>
      <c r="G25" s="111">
        <f t="shared" si="3"/>
        <v>0</v>
      </c>
      <c r="H25" s="103"/>
    </row>
    <row r="26" spans="1:8" ht="37.5">
      <c r="A26" s="45" t="s">
        <v>478</v>
      </c>
      <c r="B26" s="51">
        <v>2115</v>
      </c>
      <c r="C26" s="284">
        <f>1646.8+10677+4834.8+3279</f>
        <v>20437.599999999999</v>
      </c>
      <c r="D26" s="104">
        <f>0+4587.7+87.3+0</f>
        <v>4675</v>
      </c>
      <c r="E26" s="104">
        <v>32792.400000000001</v>
      </c>
      <c r="F26" s="104">
        <v>4675</v>
      </c>
      <c r="G26" s="111">
        <f t="shared" si="3"/>
        <v>-28117.4</v>
      </c>
      <c r="H26" s="103">
        <f t="shared" si="4"/>
        <v>0.14256352081579879</v>
      </c>
    </row>
    <row r="27" spans="1:8" s="46" customFormat="1" ht="20.100000000000001" customHeight="1">
      <c r="A27" s="144" t="s">
        <v>104</v>
      </c>
      <c r="B27" s="51">
        <v>2116</v>
      </c>
      <c r="C27" s="284"/>
      <c r="D27" s="104"/>
      <c r="E27" s="104"/>
      <c r="F27" s="104"/>
      <c r="G27" s="111">
        <f t="shared" si="3"/>
        <v>0</v>
      </c>
      <c r="H27" s="103"/>
    </row>
    <row r="28" spans="1:8" s="46" customFormat="1" ht="20.100000000000001" customHeight="1">
      <c r="A28" s="144" t="s">
        <v>479</v>
      </c>
      <c r="B28" s="51">
        <v>2117</v>
      </c>
      <c r="C28" s="284">
        <f>523.9+132.5+385+471.5</f>
        <v>1512.9</v>
      </c>
      <c r="D28" s="268">
        <f>(35.7+156.4+153.9)+(0.4+162+3.3)+(1.1+208+496.4)+(59.3+115.7+79.1)</f>
        <v>1471.3</v>
      </c>
      <c r="E28" s="104">
        <f>(700+166.2*4+337.9)</f>
        <v>1702.6999999999998</v>
      </c>
      <c r="F28" s="104">
        <f>96.5+642.1+732.7</f>
        <v>1471.3000000000002</v>
      </c>
      <c r="G28" s="111">
        <f t="shared" si="3"/>
        <v>-231.39999999999964</v>
      </c>
      <c r="H28" s="103">
        <f t="shared" si="4"/>
        <v>0.86409819698126522</v>
      </c>
    </row>
    <row r="29" spans="1:8" s="46" customFormat="1" ht="20.100000000000001" customHeight="1">
      <c r="A29" s="144" t="s">
        <v>88</v>
      </c>
      <c r="B29" s="51">
        <v>2118</v>
      </c>
      <c r="C29" s="284">
        <f>3895.9+4842.8+5925.7+4575.3</f>
        <v>19239.7</v>
      </c>
      <c r="D29" s="104">
        <f>4087.9+340.6+4948.9+412.4+4649.4+394.9+4075+332.2</f>
        <v>19241.3</v>
      </c>
      <c r="E29" s="104">
        <v>23885.4</v>
      </c>
      <c r="F29" s="104">
        <f>17761.2+1480.1</f>
        <v>19241.3</v>
      </c>
      <c r="G29" s="111">
        <f t="shared" si="3"/>
        <v>-4644.1000000000022</v>
      </c>
      <c r="H29" s="103">
        <f t="shared" si="4"/>
        <v>0.80556741775310436</v>
      </c>
    </row>
    <row r="30" spans="1:8">
      <c r="A30" s="144" t="s">
        <v>480</v>
      </c>
      <c r="B30" s="51">
        <v>2119</v>
      </c>
      <c r="C30" s="284">
        <f>SUM(C31:C32)</f>
        <v>0</v>
      </c>
      <c r="D30" s="104">
        <f>SUM(D31:D32)</f>
        <v>0</v>
      </c>
      <c r="E30" s="104">
        <f>SUM(E31:E32)</f>
        <v>0</v>
      </c>
      <c r="F30" s="104">
        <f>SUM(F31:F32)</f>
        <v>0</v>
      </c>
      <c r="G30" s="111">
        <f t="shared" si="3"/>
        <v>0</v>
      </c>
      <c r="H30" s="103"/>
    </row>
    <row r="31" spans="1:8" hidden="1">
      <c r="A31" s="145"/>
      <c r="B31" s="51" t="s">
        <v>481</v>
      </c>
      <c r="C31" s="284"/>
      <c r="D31" s="104"/>
      <c r="E31" s="104"/>
      <c r="F31" s="104"/>
      <c r="G31" s="111">
        <f t="shared" si="3"/>
        <v>0</v>
      </c>
      <c r="H31" s="103" t="e">
        <f t="shared" si="4"/>
        <v>#DIV/0!</v>
      </c>
    </row>
    <row r="32" spans="1:8" hidden="1">
      <c r="A32" s="144"/>
      <c r="B32" s="51" t="s">
        <v>482</v>
      </c>
      <c r="C32" s="284"/>
      <c r="D32" s="104"/>
      <c r="E32" s="104"/>
      <c r="F32" s="104"/>
      <c r="G32" s="111">
        <f t="shared" si="3"/>
        <v>0</v>
      </c>
      <c r="H32" s="103" t="e">
        <f t="shared" si="4"/>
        <v>#DIV/0!</v>
      </c>
    </row>
    <row r="33" spans="1:9" s="48" customFormat="1" ht="37.5">
      <c r="A33" s="69" t="s">
        <v>483</v>
      </c>
      <c r="B33" s="57">
        <v>2120</v>
      </c>
      <c r="C33" s="285">
        <f>SUM(C34:C37)</f>
        <v>2900.4</v>
      </c>
      <c r="D33" s="115">
        <f>SUM(D34:D37)</f>
        <v>3081</v>
      </c>
      <c r="E33" s="115">
        <f>SUM(E34:E37)</f>
        <v>3346.4</v>
      </c>
      <c r="F33" s="115">
        <f>SUM(F34:F37)</f>
        <v>3081</v>
      </c>
      <c r="G33" s="181">
        <f t="shared" si="3"/>
        <v>-265.40000000000009</v>
      </c>
      <c r="H33" s="137">
        <f t="shared" si="4"/>
        <v>0.92069089170451823</v>
      </c>
      <c r="I33" s="44"/>
    </row>
    <row r="34" spans="1:9" s="48" customFormat="1">
      <c r="A34" s="45" t="s">
        <v>88</v>
      </c>
      <c r="B34" s="50">
        <v>2121</v>
      </c>
      <c r="C34" s="284"/>
      <c r="D34" s="104"/>
      <c r="E34" s="104"/>
      <c r="F34" s="104"/>
      <c r="G34" s="111">
        <f t="shared" si="3"/>
        <v>0</v>
      </c>
      <c r="H34" s="103"/>
      <c r="I34" s="44"/>
    </row>
    <row r="35" spans="1:9" s="48" customFormat="1">
      <c r="A35" s="45" t="s">
        <v>667</v>
      </c>
      <c r="B35" s="50">
        <v>2122</v>
      </c>
      <c r="C35" s="284">
        <f>695.3+744.6+728.9+728.9</f>
        <v>2897.7000000000003</v>
      </c>
      <c r="D35" s="104">
        <f>758.5+773.2+773.3+773.3</f>
        <v>3078.3</v>
      </c>
      <c r="E35" s="104">
        <v>3338.4</v>
      </c>
      <c r="F35" s="104">
        <v>3078.3</v>
      </c>
      <c r="G35" s="111">
        <f t="shared" si="3"/>
        <v>-260.09999999999991</v>
      </c>
      <c r="H35" s="103">
        <f t="shared" si="4"/>
        <v>0.92208842559309856</v>
      </c>
      <c r="I35" s="44"/>
    </row>
    <row r="36" spans="1:9" s="48" customFormat="1">
      <c r="A36" s="45" t="s">
        <v>484</v>
      </c>
      <c r="B36" s="50">
        <v>2123</v>
      </c>
      <c r="C36" s="284"/>
      <c r="D36" s="104"/>
      <c r="E36" s="104"/>
      <c r="F36" s="104"/>
      <c r="G36" s="111">
        <f t="shared" si="3"/>
        <v>0</v>
      </c>
      <c r="H36" s="103"/>
      <c r="I36" s="44"/>
    </row>
    <row r="37" spans="1:9" s="48" customFormat="1">
      <c r="A37" s="45" t="s">
        <v>485</v>
      </c>
      <c r="B37" s="50">
        <v>2124</v>
      </c>
      <c r="C37" s="284">
        <f>SUM(C38:C41)</f>
        <v>2.7</v>
      </c>
      <c r="D37" s="104">
        <f>SUM(D38:D41)</f>
        <v>2.7</v>
      </c>
      <c r="E37" s="104">
        <f>SUM(E38:E41)</f>
        <v>8</v>
      </c>
      <c r="F37" s="104">
        <f>SUM(F38:F41)</f>
        <v>2.7</v>
      </c>
      <c r="G37" s="111">
        <f t="shared" si="3"/>
        <v>-5.3</v>
      </c>
      <c r="H37" s="103">
        <f t="shared" si="4"/>
        <v>0.33750000000000002</v>
      </c>
      <c r="I37" s="44"/>
    </row>
    <row r="38" spans="1:9" s="48" customFormat="1">
      <c r="A38" s="141" t="s">
        <v>609</v>
      </c>
      <c r="B38" s="50" t="s">
        <v>486</v>
      </c>
      <c r="C38" s="284">
        <f>0.5+0.7+0.9+0.6</f>
        <v>2.7</v>
      </c>
      <c r="D38" s="104">
        <f>0.3+0.5+0.4+1.5</f>
        <v>2.7</v>
      </c>
      <c r="E38" s="104">
        <v>8</v>
      </c>
      <c r="F38" s="104">
        <v>2.7</v>
      </c>
      <c r="G38" s="111">
        <f t="shared" si="3"/>
        <v>-5.3</v>
      </c>
      <c r="H38" s="103">
        <f t="shared" si="4"/>
        <v>0.33750000000000002</v>
      </c>
      <c r="I38" s="44"/>
    </row>
    <row r="39" spans="1:9" s="48" customFormat="1" hidden="1">
      <c r="A39" s="141"/>
      <c r="B39" s="50" t="s">
        <v>487</v>
      </c>
      <c r="C39" s="284"/>
      <c r="D39" s="104"/>
      <c r="E39" s="104"/>
      <c r="F39" s="104"/>
      <c r="G39" s="111">
        <f t="shared" si="3"/>
        <v>0</v>
      </c>
      <c r="H39" s="103" t="e">
        <f t="shared" si="4"/>
        <v>#DIV/0!</v>
      </c>
      <c r="I39" s="44"/>
    </row>
    <row r="40" spans="1:9" s="48" customFormat="1" hidden="1">
      <c r="A40" s="141"/>
      <c r="B40" s="50" t="s">
        <v>488</v>
      </c>
      <c r="C40" s="284"/>
      <c r="D40" s="104"/>
      <c r="E40" s="104"/>
      <c r="F40" s="104"/>
      <c r="G40" s="111">
        <f t="shared" si="3"/>
        <v>0</v>
      </c>
      <c r="H40" s="103" t="e">
        <f t="shared" si="4"/>
        <v>#DIV/0!</v>
      </c>
      <c r="I40" s="44"/>
    </row>
    <row r="41" spans="1:9" s="48" customFormat="1" hidden="1">
      <c r="A41" s="141"/>
      <c r="B41" s="50" t="s">
        <v>489</v>
      </c>
      <c r="C41" s="284"/>
      <c r="D41" s="104"/>
      <c r="E41" s="104"/>
      <c r="F41" s="104"/>
      <c r="G41" s="111">
        <f t="shared" si="3"/>
        <v>0</v>
      </c>
      <c r="H41" s="103" t="e">
        <f t="shared" si="4"/>
        <v>#DIV/0!</v>
      </c>
      <c r="I41" s="44"/>
    </row>
    <row r="42" spans="1:9" ht="34.5" customHeight="1">
      <c r="A42" s="69" t="s">
        <v>490</v>
      </c>
      <c r="B42" s="57">
        <v>2130</v>
      </c>
      <c r="C42" s="285">
        <f>SUM(C43:C46)</f>
        <v>21722.100000000002</v>
      </c>
      <c r="D42" s="115">
        <f>SUM(D43:D46)</f>
        <v>21425.4</v>
      </c>
      <c r="E42" s="115">
        <f>SUM(E43:E46)</f>
        <v>26947.599999999999</v>
      </c>
      <c r="F42" s="115">
        <f>SUM(F43:F46)</f>
        <v>21425.4</v>
      </c>
      <c r="G42" s="181">
        <f t="shared" si="3"/>
        <v>-5522.1999999999971</v>
      </c>
      <c r="H42" s="137">
        <f t="shared" si="4"/>
        <v>0.79507637043744162</v>
      </c>
    </row>
    <row r="43" spans="1:9" ht="56.25">
      <c r="A43" s="45" t="s">
        <v>491</v>
      </c>
      <c r="B43" s="50">
        <v>2131</v>
      </c>
      <c r="C43" s="284"/>
      <c r="D43" s="104"/>
      <c r="E43" s="104"/>
      <c r="F43" s="104"/>
      <c r="G43" s="111">
        <f t="shared" si="3"/>
        <v>0</v>
      </c>
      <c r="H43" s="103"/>
    </row>
    <row r="44" spans="1:9" ht="20.100000000000001" customHeight="1">
      <c r="A44" s="45" t="s">
        <v>492</v>
      </c>
      <c r="B44" s="50">
        <v>2132</v>
      </c>
      <c r="C44" s="284"/>
      <c r="D44" s="104"/>
      <c r="E44" s="104"/>
      <c r="F44" s="104"/>
      <c r="G44" s="111">
        <f t="shared" si="3"/>
        <v>0</v>
      </c>
      <c r="H44" s="103"/>
    </row>
    <row r="45" spans="1:9" ht="20.100000000000001" customHeight="1">
      <c r="A45" s="45" t="s">
        <v>493</v>
      </c>
      <c r="B45" s="50">
        <v>2133</v>
      </c>
      <c r="C45" s="284">
        <f>4760.1+5340.3+6511.7+5110</f>
        <v>21722.100000000002</v>
      </c>
      <c r="D45" s="104">
        <f>4942.4+5981.6+5605.3+4896.1</f>
        <v>21425.4</v>
      </c>
      <c r="E45" s="104">
        <v>26947.599999999999</v>
      </c>
      <c r="F45" s="104">
        <v>21425.4</v>
      </c>
      <c r="G45" s="111">
        <f t="shared" si="3"/>
        <v>-5522.1999999999971</v>
      </c>
      <c r="H45" s="103">
        <f t="shared" si="4"/>
        <v>0.79507637043744162</v>
      </c>
    </row>
    <row r="46" spans="1:9" ht="20.100000000000001" customHeight="1">
      <c r="A46" s="144" t="s">
        <v>494</v>
      </c>
      <c r="B46" s="50">
        <v>2134</v>
      </c>
      <c r="C46" s="284">
        <f>SUM(C47:C49)</f>
        <v>0</v>
      </c>
      <c r="D46" s="104">
        <f>SUM(D47:D49)</f>
        <v>0</v>
      </c>
      <c r="E46" s="104">
        <f>SUM(E47:E49)</f>
        <v>0</v>
      </c>
      <c r="F46" s="104">
        <f>SUM(F47:F49)</f>
        <v>0</v>
      </c>
      <c r="G46" s="111">
        <f t="shared" si="3"/>
        <v>0</v>
      </c>
      <c r="H46" s="103"/>
    </row>
    <row r="47" spans="1:9" ht="20.100000000000001" customHeight="1">
      <c r="A47" s="145"/>
      <c r="B47" s="50" t="s">
        <v>495</v>
      </c>
      <c r="C47" s="284"/>
      <c r="D47" s="104"/>
      <c r="E47" s="104"/>
      <c r="F47" s="104"/>
      <c r="G47" s="111">
        <f t="shared" si="3"/>
        <v>0</v>
      </c>
      <c r="H47" s="103"/>
    </row>
    <row r="48" spans="1:9" ht="20.100000000000001" customHeight="1">
      <c r="A48" s="145"/>
      <c r="B48" s="50" t="s">
        <v>496</v>
      </c>
      <c r="C48" s="284"/>
      <c r="D48" s="104"/>
      <c r="E48" s="104"/>
      <c r="F48" s="104"/>
      <c r="G48" s="111">
        <f t="shared" si="3"/>
        <v>0</v>
      </c>
      <c r="H48" s="103"/>
    </row>
    <row r="49" spans="1:10" ht="20.100000000000001" customHeight="1">
      <c r="A49" s="145"/>
      <c r="B49" s="50" t="s">
        <v>497</v>
      </c>
      <c r="C49" s="284"/>
      <c r="D49" s="104"/>
      <c r="E49" s="104"/>
      <c r="F49" s="104"/>
      <c r="G49" s="111">
        <f t="shared" si="3"/>
        <v>0</v>
      </c>
      <c r="H49" s="103"/>
    </row>
    <row r="50" spans="1:10" s="46" customFormat="1" ht="20.100000000000001" customHeight="1">
      <c r="A50" s="69" t="s">
        <v>499</v>
      </c>
      <c r="B50" s="50">
        <v>2140</v>
      </c>
      <c r="C50" s="284">
        <f>SUM(C51:C52)</f>
        <v>0</v>
      </c>
      <c r="D50" s="104">
        <f>SUM(D51:D52)</f>
        <v>0</v>
      </c>
      <c r="E50" s="104">
        <f>SUM(E51:E52)</f>
        <v>0</v>
      </c>
      <c r="F50" s="104">
        <f>SUM(F51:F52)</f>
        <v>0</v>
      </c>
      <c r="G50" s="111">
        <f t="shared" si="3"/>
        <v>0</v>
      </c>
      <c r="H50" s="103"/>
    </row>
    <row r="51" spans="1:10" ht="37.5">
      <c r="A51" s="45" t="s">
        <v>131</v>
      </c>
      <c r="B51" s="50">
        <v>2141</v>
      </c>
      <c r="C51" s="284"/>
      <c r="D51" s="104"/>
      <c r="E51" s="104"/>
      <c r="F51" s="104"/>
      <c r="G51" s="111">
        <f t="shared" si="3"/>
        <v>0</v>
      </c>
      <c r="H51" s="103"/>
    </row>
    <row r="52" spans="1:10" ht="20.100000000000001" customHeight="1">
      <c r="A52" s="144" t="s">
        <v>498</v>
      </c>
      <c r="B52" s="50">
        <v>2142</v>
      </c>
      <c r="C52" s="284"/>
      <c r="D52" s="104"/>
      <c r="E52" s="104"/>
      <c r="F52" s="104"/>
      <c r="G52" s="111">
        <f t="shared" si="3"/>
        <v>0</v>
      </c>
      <c r="H52" s="103"/>
    </row>
    <row r="53" spans="1:10" s="46" customFormat="1" ht="24.95" customHeight="1">
      <c r="A53" s="69" t="s">
        <v>230</v>
      </c>
      <c r="B53" s="57">
        <v>2200</v>
      </c>
      <c r="C53" s="267">
        <f>C21+C33+C42+C50</f>
        <v>107689.4</v>
      </c>
      <c r="D53" s="136">
        <f>D21+D33+D42+D50</f>
        <v>75185.899999999994</v>
      </c>
      <c r="E53" s="136">
        <f>E21+E33+E42+E50</f>
        <v>136147.80000000002</v>
      </c>
      <c r="F53" s="136">
        <f>F21+F33+F42+F50</f>
        <v>75185.899999999994</v>
      </c>
      <c r="G53" s="181">
        <f t="shared" si="3"/>
        <v>-60961.900000000023</v>
      </c>
      <c r="H53" s="137">
        <f t="shared" si="4"/>
        <v>0.55223734794098756</v>
      </c>
      <c r="I53" s="44"/>
    </row>
    <row r="54" spans="1:10" s="46" customFormat="1">
      <c r="A54" s="65"/>
      <c r="B54" s="47"/>
      <c r="C54" s="47"/>
      <c r="D54" s="47"/>
      <c r="E54" s="47"/>
      <c r="F54" s="47"/>
      <c r="G54" s="47"/>
      <c r="H54" s="47"/>
    </row>
    <row r="55" spans="1:10" s="46" customFormat="1">
      <c r="A55" s="65"/>
      <c r="B55" s="47"/>
      <c r="C55" s="47"/>
      <c r="D55" s="47"/>
      <c r="E55" s="47"/>
      <c r="F55" s="47"/>
      <c r="G55" s="47"/>
      <c r="H55" s="47"/>
    </row>
    <row r="56" spans="1:10" s="46" customFormat="1">
      <c r="A56" s="65"/>
      <c r="B56" s="47"/>
      <c r="C56" s="47"/>
      <c r="D56" s="47"/>
      <c r="E56" s="47"/>
      <c r="F56" s="47"/>
      <c r="G56" s="47"/>
      <c r="H56" s="47"/>
    </row>
    <row r="57" spans="1:10" s="2" customFormat="1" ht="27.75" customHeight="1">
      <c r="A57" s="43" t="s">
        <v>640</v>
      </c>
      <c r="B57" s="31"/>
      <c r="C57" s="332" t="s">
        <v>105</v>
      </c>
      <c r="D57" s="332"/>
      <c r="E57" s="147"/>
      <c r="F57" s="314" t="s">
        <v>735</v>
      </c>
      <c r="G57" s="314"/>
      <c r="H57" s="314"/>
    </row>
    <row r="58" spans="1:10" s="1" customFormat="1">
      <c r="A58" s="72" t="s">
        <v>270</v>
      </c>
      <c r="B58" s="2"/>
      <c r="C58" s="312" t="s">
        <v>218</v>
      </c>
      <c r="D58" s="312"/>
      <c r="E58" s="2"/>
      <c r="F58" s="344" t="s">
        <v>271</v>
      </c>
      <c r="G58" s="344"/>
      <c r="H58" s="344"/>
    </row>
    <row r="59" spans="1:10" s="47" customFormat="1">
      <c r="A59" s="59"/>
      <c r="I59" s="44"/>
      <c r="J59" s="44"/>
    </row>
    <row r="60" spans="1:10" s="47" customFormat="1">
      <c r="A60" s="59"/>
      <c r="I60" s="44"/>
      <c r="J60" s="44"/>
    </row>
    <row r="61" spans="1:10" s="47" customFormat="1">
      <c r="A61" s="59"/>
      <c r="I61" s="44"/>
      <c r="J61" s="44"/>
    </row>
    <row r="62" spans="1:10" s="47" customFormat="1">
      <c r="A62" s="59"/>
      <c r="I62" s="44"/>
      <c r="J62" s="44"/>
    </row>
    <row r="63" spans="1:10" s="47" customFormat="1">
      <c r="A63" s="59"/>
      <c r="I63" s="44"/>
      <c r="J63" s="44"/>
    </row>
    <row r="64" spans="1:10" s="47" customFormat="1">
      <c r="A64" s="59"/>
      <c r="I64" s="44"/>
      <c r="J64" s="44"/>
    </row>
    <row r="65" spans="1:10" s="47" customFormat="1">
      <c r="A65" s="59"/>
      <c r="I65" s="44"/>
      <c r="J65" s="44"/>
    </row>
    <row r="66" spans="1:10" s="47" customFormat="1">
      <c r="A66" s="59"/>
      <c r="I66" s="44"/>
      <c r="J66" s="44"/>
    </row>
    <row r="67" spans="1:10" s="47" customFormat="1">
      <c r="A67" s="59"/>
      <c r="I67" s="44"/>
      <c r="J67" s="44"/>
    </row>
    <row r="68" spans="1:10" s="47" customFormat="1">
      <c r="A68" s="59"/>
      <c r="I68" s="44"/>
      <c r="J68" s="44"/>
    </row>
    <row r="69" spans="1:10" s="47" customFormat="1">
      <c r="A69" s="59"/>
      <c r="I69" s="44"/>
      <c r="J69" s="44"/>
    </row>
    <row r="70" spans="1:10" s="47" customFormat="1">
      <c r="A70" s="59"/>
      <c r="I70" s="44"/>
      <c r="J70" s="44"/>
    </row>
    <row r="71" spans="1:10" s="47" customFormat="1">
      <c r="A71" s="59"/>
      <c r="I71" s="44"/>
      <c r="J71" s="44"/>
    </row>
    <row r="72" spans="1:10" s="47" customFormat="1">
      <c r="A72" s="59"/>
      <c r="I72" s="44"/>
      <c r="J72" s="44"/>
    </row>
    <row r="73" spans="1:10" s="47" customFormat="1">
      <c r="A73" s="59"/>
      <c r="I73" s="44"/>
      <c r="J73" s="44"/>
    </row>
    <row r="74" spans="1:10" s="47" customFormat="1">
      <c r="A74" s="59"/>
      <c r="I74" s="44"/>
      <c r="J74" s="44"/>
    </row>
    <row r="75" spans="1:10" s="47" customFormat="1">
      <c r="A75" s="59"/>
      <c r="I75" s="44"/>
      <c r="J75" s="44"/>
    </row>
    <row r="76" spans="1:10" s="47" customFormat="1">
      <c r="A76" s="59"/>
      <c r="I76" s="44"/>
      <c r="J76" s="44"/>
    </row>
    <row r="77" spans="1:10" s="47" customFormat="1">
      <c r="A77" s="59"/>
      <c r="I77" s="44"/>
      <c r="J77" s="44"/>
    </row>
    <row r="78" spans="1:10" s="47" customFormat="1">
      <c r="A78" s="59"/>
      <c r="I78" s="44"/>
      <c r="J78" s="44"/>
    </row>
    <row r="79" spans="1:10" s="47" customFormat="1">
      <c r="A79" s="59"/>
      <c r="I79" s="44"/>
      <c r="J79" s="44"/>
    </row>
    <row r="80" spans="1:10" s="47" customFormat="1">
      <c r="A80" s="59"/>
      <c r="I80" s="44"/>
      <c r="J80" s="44"/>
    </row>
    <row r="81" spans="1:10" s="47" customFormat="1">
      <c r="A81" s="59"/>
      <c r="I81" s="44"/>
      <c r="J81" s="44"/>
    </row>
    <row r="82" spans="1:10" s="47" customFormat="1">
      <c r="A82" s="59"/>
      <c r="I82" s="44"/>
      <c r="J82" s="44"/>
    </row>
    <row r="83" spans="1:10" s="47" customFormat="1">
      <c r="A83" s="59"/>
      <c r="I83" s="44"/>
      <c r="J83" s="44"/>
    </row>
    <row r="84" spans="1:10" s="47" customFormat="1">
      <c r="A84" s="59"/>
      <c r="I84" s="44"/>
      <c r="J84" s="44"/>
    </row>
    <row r="85" spans="1:10" s="47" customFormat="1">
      <c r="A85" s="59"/>
      <c r="I85" s="44"/>
      <c r="J85" s="44"/>
    </row>
    <row r="86" spans="1:10" s="47" customFormat="1">
      <c r="A86" s="59"/>
      <c r="I86" s="44"/>
      <c r="J86" s="44"/>
    </row>
    <row r="87" spans="1:10" s="47" customFormat="1">
      <c r="A87" s="59"/>
      <c r="I87" s="44"/>
      <c r="J87" s="44"/>
    </row>
    <row r="88" spans="1:10" s="47" customFormat="1">
      <c r="A88" s="59"/>
      <c r="I88" s="44"/>
      <c r="J88" s="44"/>
    </row>
    <row r="89" spans="1:10" s="47" customFormat="1">
      <c r="A89" s="59"/>
      <c r="I89" s="44"/>
      <c r="J89" s="44"/>
    </row>
    <row r="90" spans="1:10" s="47" customFormat="1">
      <c r="A90" s="59"/>
      <c r="I90" s="44"/>
      <c r="J90" s="44"/>
    </row>
    <row r="91" spans="1:10" s="47" customFormat="1">
      <c r="A91" s="59"/>
      <c r="I91" s="44"/>
      <c r="J91" s="44"/>
    </row>
    <row r="92" spans="1:10" s="47" customFormat="1">
      <c r="A92" s="59"/>
      <c r="I92" s="44"/>
      <c r="J92" s="44"/>
    </row>
    <row r="93" spans="1:10" s="47" customFormat="1">
      <c r="A93" s="59"/>
      <c r="I93" s="44"/>
      <c r="J93" s="44"/>
    </row>
    <row r="94" spans="1:10" s="47" customFormat="1">
      <c r="A94" s="59"/>
      <c r="I94" s="44"/>
      <c r="J94" s="44"/>
    </row>
    <row r="95" spans="1:10" s="47" customFormat="1">
      <c r="A95" s="59"/>
      <c r="I95" s="44"/>
      <c r="J95" s="44"/>
    </row>
    <row r="96" spans="1:10" s="47" customFormat="1">
      <c r="A96" s="59"/>
      <c r="I96" s="44"/>
      <c r="J96" s="44"/>
    </row>
    <row r="97" spans="1:10" s="47" customFormat="1">
      <c r="A97" s="59"/>
      <c r="I97" s="44"/>
      <c r="J97" s="44"/>
    </row>
    <row r="98" spans="1:10" s="47" customFormat="1">
      <c r="A98" s="59"/>
      <c r="I98" s="44"/>
      <c r="J98" s="44"/>
    </row>
    <row r="99" spans="1:10" s="47" customFormat="1">
      <c r="A99" s="59"/>
      <c r="I99" s="44"/>
      <c r="J99" s="44"/>
    </row>
    <row r="100" spans="1:10" s="47" customFormat="1">
      <c r="A100" s="59"/>
      <c r="I100" s="44"/>
      <c r="J100" s="44"/>
    </row>
    <row r="101" spans="1:10" s="47" customFormat="1">
      <c r="A101" s="59"/>
      <c r="I101" s="44"/>
      <c r="J101" s="44"/>
    </row>
    <row r="102" spans="1:10" s="47" customFormat="1">
      <c r="A102" s="59"/>
      <c r="I102" s="44"/>
      <c r="J102" s="44"/>
    </row>
    <row r="103" spans="1:10" s="47" customFormat="1">
      <c r="A103" s="59"/>
      <c r="I103" s="44"/>
      <c r="J103" s="44"/>
    </row>
    <row r="104" spans="1:10" s="47" customFormat="1">
      <c r="A104" s="59"/>
      <c r="I104" s="44"/>
      <c r="J104" s="44"/>
    </row>
    <row r="105" spans="1:10" s="47" customFormat="1">
      <c r="A105" s="59"/>
      <c r="I105" s="44"/>
      <c r="J105" s="44"/>
    </row>
    <row r="106" spans="1:10" s="47" customFormat="1">
      <c r="A106" s="59"/>
      <c r="I106" s="44"/>
      <c r="J106" s="44"/>
    </row>
    <row r="107" spans="1:10" s="47" customFormat="1">
      <c r="A107" s="59"/>
      <c r="I107" s="44"/>
      <c r="J107" s="44"/>
    </row>
    <row r="108" spans="1:10" s="47" customFormat="1">
      <c r="A108" s="59"/>
      <c r="I108" s="44"/>
      <c r="J108" s="44"/>
    </row>
    <row r="109" spans="1:10" s="47" customFormat="1">
      <c r="A109" s="59"/>
      <c r="I109" s="44"/>
      <c r="J109" s="44"/>
    </row>
    <row r="110" spans="1:10" s="47" customFormat="1">
      <c r="A110" s="59"/>
      <c r="I110" s="44"/>
      <c r="J110" s="44"/>
    </row>
    <row r="111" spans="1:10" s="47" customFormat="1">
      <c r="A111" s="59"/>
      <c r="I111" s="44"/>
      <c r="J111" s="44"/>
    </row>
    <row r="112" spans="1:10" s="47" customFormat="1">
      <c r="A112" s="59"/>
      <c r="I112" s="44"/>
      <c r="J112" s="44"/>
    </row>
    <row r="113" spans="1:10" s="47" customFormat="1">
      <c r="A113" s="59"/>
      <c r="I113" s="44"/>
      <c r="J113" s="44"/>
    </row>
    <row r="114" spans="1:10" s="47" customFormat="1">
      <c r="A114" s="59"/>
      <c r="I114" s="44"/>
      <c r="J114" s="44"/>
    </row>
    <row r="115" spans="1:10" s="47" customFormat="1">
      <c r="A115" s="59"/>
      <c r="I115" s="44"/>
      <c r="J115" s="44"/>
    </row>
    <row r="116" spans="1:10" s="47" customFormat="1">
      <c r="A116" s="59"/>
      <c r="I116" s="44"/>
      <c r="J116" s="44"/>
    </row>
    <row r="117" spans="1:10" s="47" customFormat="1">
      <c r="A117" s="59"/>
      <c r="I117" s="44"/>
      <c r="J117" s="44"/>
    </row>
    <row r="118" spans="1:10" s="47" customFormat="1">
      <c r="A118" s="59"/>
      <c r="I118" s="44"/>
      <c r="J118" s="44"/>
    </row>
    <row r="119" spans="1:10" s="47" customFormat="1">
      <c r="A119" s="59"/>
      <c r="I119" s="44"/>
      <c r="J119" s="44"/>
    </row>
    <row r="120" spans="1:10" s="47" customFormat="1">
      <c r="A120" s="59"/>
      <c r="I120" s="44"/>
      <c r="J120" s="44"/>
    </row>
    <row r="121" spans="1:10" s="47" customFormat="1">
      <c r="A121" s="59"/>
      <c r="I121" s="44"/>
      <c r="J121" s="44"/>
    </row>
    <row r="122" spans="1:10" s="47" customFormat="1">
      <c r="A122" s="59"/>
      <c r="I122" s="44"/>
      <c r="J122" s="44"/>
    </row>
    <row r="123" spans="1:10" s="47" customFormat="1">
      <c r="A123" s="59"/>
      <c r="I123" s="44"/>
      <c r="J123" s="44"/>
    </row>
    <row r="124" spans="1:10" s="47" customFormat="1">
      <c r="A124" s="59"/>
      <c r="I124" s="44"/>
      <c r="J124" s="44"/>
    </row>
    <row r="125" spans="1:10" s="47" customFormat="1">
      <c r="A125" s="59"/>
      <c r="I125" s="44"/>
      <c r="J125" s="44"/>
    </row>
    <row r="126" spans="1:10" s="47" customFormat="1">
      <c r="A126" s="59"/>
      <c r="I126" s="44"/>
      <c r="J126" s="44"/>
    </row>
    <row r="127" spans="1:10" s="47" customFormat="1">
      <c r="A127" s="59"/>
      <c r="I127" s="44"/>
      <c r="J127" s="44"/>
    </row>
    <row r="128" spans="1:10" s="47" customFormat="1">
      <c r="A128" s="59"/>
      <c r="I128" s="44"/>
      <c r="J128" s="44"/>
    </row>
    <row r="129" spans="1:10" s="47" customFormat="1">
      <c r="A129" s="59"/>
      <c r="I129" s="44"/>
      <c r="J129" s="44"/>
    </row>
    <row r="130" spans="1:10" s="47" customFormat="1">
      <c r="A130" s="59"/>
      <c r="I130" s="44"/>
      <c r="J130" s="44"/>
    </row>
    <row r="131" spans="1:10" s="47" customFormat="1">
      <c r="A131" s="59"/>
      <c r="I131" s="44"/>
      <c r="J131" s="44"/>
    </row>
    <row r="132" spans="1:10" s="47" customFormat="1">
      <c r="A132" s="59"/>
      <c r="I132" s="44"/>
      <c r="J132" s="44"/>
    </row>
    <row r="133" spans="1:10" s="47" customFormat="1">
      <c r="A133" s="59"/>
      <c r="I133" s="44"/>
      <c r="J133" s="44"/>
    </row>
    <row r="134" spans="1:10" s="47" customFormat="1">
      <c r="A134" s="59"/>
      <c r="I134" s="44"/>
      <c r="J134" s="44"/>
    </row>
    <row r="135" spans="1:10" s="47" customFormat="1">
      <c r="A135" s="59"/>
      <c r="I135" s="44"/>
      <c r="J135" s="44"/>
    </row>
    <row r="136" spans="1:10" s="47" customFormat="1">
      <c r="A136" s="59"/>
      <c r="I136" s="44"/>
      <c r="J136" s="44"/>
    </row>
    <row r="137" spans="1:10" s="47" customFormat="1">
      <c r="A137" s="59"/>
      <c r="I137" s="44"/>
      <c r="J137" s="44"/>
    </row>
    <row r="138" spans="1:10" s="47" customFormat="1">
      <c r="A138" s="59"/>
      <c r="I138" s="44"/>
      <c r="J138" s="44"/>
    </row>
    <row r="139" spans="1:10" s="47" customFormat="1">
      <c r="A139" s="59"/>
      <c r="I139" s="44"/>
      <c r="J139" s="44"/>
    </row>
    <row r="140" spans="1:10" s="47" customFormat="1">
      <c r="A140" s="59"/>
      <c r="I140" s="44"/>
      <c r="J140" s="44"/>
    </row>
    <row r="141" spans="1:10" s="47" customFormat="1">
      <c r="A141" s="59"/>
      <c r="I141" s="44"/>
      <c r="J141" s="44"/>
    </row>
    <row r="142" spans="1:10" s="47" customFormat="1">
      <c r="A142" s="59"/>
      <c r="I142" s="44"/>
      <c r="J142" s="44"/>
    </row>
    <row r="143" spans="1:10" s="47" customFormat="1">
      <c r="A143" s="59"/>
      <c r="I143" s="44"/>
      <c r="J143" s="44"/>
    </row>
    <row r="144" spans="1:10" s="47" customFormat="1">
      <c r="A144" s="59"/>
      <c r="I144" s="44"/>
      <c r="J144" s="44"/>
    </row>
    <row r="145" spans="1:10" s="47" customFormat="1">
      <c r="A145" s="59"/>
      <c r="I145" s="44"/>
      <c r="J145" s="44"/>
    </row>
    <row r="146" spans="1:10" s="47" customFormat="1">
      <c r="A146" s="59"/>
      <c r="I146" s="44"/>
      <c r="J146" s="44"/>
    </row>
    <row r="147" spans="1:10" s="47" customFormat="1">
      <c r="A147" s="59"/>
      <c r="I147" s="44"/>
      <c r="J147" s="44"/>
    </row>
    <row r="148" spans="1:10" s="47" customFormat="1">
      <c r="A148" s="59"/>
      <c r="I148" s="44"/>
      <c r="J148" s="44"/>
    </row>
    <row r="149" spans="1:10" s="47" customFormat="1">
      <c r="A149" s="59"/>
      <c r="I149" s="44"/>
      <c r="J149" s="44"/>
    </row>
    <row r="150" spans="1:10" s="47" customFormat="1">
      <c r="A150" s="59"/>
      <c r="I150" s="44"/>
      <c r="J150" s="44"/>
    </row>
    <row r="151" spans="1:10" s="47" customFormat="1">
      <c r="A151" s="59"/>
      <c r="I151" s="44"/>
      <c r="J151" s="44"/>
    </row>
    <row r="152" spans="1:10" s="47" customFormat="1">
      <c r="A152" s="59"/>
      <c r="I152" s="44"/>
      <c r="J152" s="44"/>
    </row>
    <row r="153" spans="1:10" s="47" customFormat="1">
      <c r="A153" s="59"/>
      <c r="I153" s="44"/>
      <c r="J153" s="44"/>
    </row>
    <row r="154" spans="1:10" s="47" customFormat="1">
      <c r="A154" s="59"/>
      <c r="I154" s="44"/>
      <c r="J154" s="44"/>
    </row>
    <row r="155" spans="1:10" s="47" customFormat="1">
      <c r="A155" s="59"/>
      <c r="I155" s="44"/>
      <c r="J155" s="44"/>
    </row>
    <row r="156" spans="1:10" s="47" customFormat="1">
      <c r="A156" s="59"/>
      <c r="I156" s="44"/>
      <c r="J156" s="44"/>
    </row>
    <row r="157" spans="1:10" s="47" customFormat="1">
      <c r="A157" s="59"/>
      <c r="I157" s="44"/>
      <c r="J157" s="44"/>
    </row>
    <row r="158" spans="1:10" s="47" customFormat="1">
      <c r="A158" s="59"/>
      <c r="I158" s="44"/>
      <c r="J158" s="44"/>
    </row>
    <row r="159" spans="1:10" s="47" customFormat="1">
      <c r="A159" s="59"/>
      <c r="I159" s="44"/>
      <c r="J159" s="44"/>
    </row>
    <row r="160" spans="1:10" s="47" customFormat="1">
      <c r="A160" s="59"/>
      <c r="I160" s="44"/>
      <c r="J160" s="44"/>
    </row>
    <row r="161" spans="1:10" s="47" customFormat="1">
      <c r="A161" s="59"/>
      <c r="I161" s="44"/>
      <c r="J161" s="44"/>
    </row>
    <row r="162" spans="1:10" s="47" customFormat="1">
      <c r="A162" s="59"/>
      <c r="I162" s="44"/>
      <c r="J162" s="44"/>
    </row>
    <row r="163" spans="1:10" s="47" customFormat="1">
      <c r="A163" s="59"/>
      <c r="I163" s="44"/>
      <c r="J163" s="44"/>
    </row>
    <row r="164" spans="1:10" s="47" customFormat="1">
      <c r="A164" s="59"/>
      <c r="I164" s="44"/>
      <c r="J164" s="44"/>
    </row>
    <row r="165" spans="1:10" s="47" customFormat="1">
      <c r="A165" s="59"/>
      <c r="I165" s="44"/>
      <c r="J165" s="44"/>
    </row>
    <row r="166" spans="1:10" s="47" customFormat="1">
      <c r="A166" s="59"/>
      <c r="I166" s="44"/>
      <c r="J166" s="44"/>
    </row>
    <row r="167" spans="1:10" s="47" customFormat="1">
      <c r="A167" s="59"/>
      <c r="I167" s="44"/>
      <c r="J167" s="44"/>
    </row>
    <row r="168" spans="1:10" s="47" customFormat="1">
      <c r="A168" s="59"/>
      <c r="I168" s="44"/>
      <c r="J168" s="44"/>
    </row>
    <row r="169" spans="1:10" s="47" customFormat="1">
      <c r="A169" s="59"/>
      <c r="I169" s="44"/>
      <c r="J169" s="44"/>
    </row>
    <row r="170" spans="1:10" s="47" customFormat="1">
      <c r="A170" s="59"/>
      <c r="I170" s="44"/>
      <c r="J170" s="44"/>
    </row>
    <row r="171" spans="1:10" s="47" customFormat="1">
      <c r="A171" s="59"/>
      <c r="I171" s="44"/>
      <c r="J171" s="44"/>
    </row>
    <row r="172" spans="1:10" s="47" customFormat="1">
      <c r="A172" s="59"/>
      <c r="I172" s="44"/>
      <c r="J172" s="44"/>
    </row>
    <row r="173" spans="1:10" s="47" customFormat="1">
      <c r="A173" s="59"/>
      <c r="I173" s="44"/>
      <c r="J173" s="44"/>
    </row>
    <row r="174" spans="1:10" s="47" customFormat="1">
      <c r="A174" s="59"/>
      <c r="I174" s="44"/>
      <c r="J174" s="44"/>
    </row>
    <row r="175" spans="1:10" s="47" customFormat="1">
      <c r="A175" s="59"/>
      <c r="I175" s="44"/>
      <c r="J175" s="44"/>
    </row>
    <row r="176" spans="1:10" s="47" customFormat="1">
      <c r="A176" s="59"/>
      <c r="I176" s="44"/>
      <c r="J176" s="44"/>
    </row>
    <row r="177" spans="1:10" s="47" customFormat="1">
      <c r="A177" s="59"/>
      <c r="I177" s="44"/>
      <c r="J177" s="44"/>
    </row>
    <row r="178" spans="1:10" s="47" customFormat="1">
      <c r="A178" s="59"/>
      <c r="I178" s="44"/>
      <c r="J178" s="44"/>
    </row>
    <row r="179" spans="1:10" s="47" customFormat="1">
      <c r="A179" s="59"/>
      <c r="I179" s="44"/>
      <c r="J179" s="44"/>
    </row>
    <row r="180" spans="1:10" s="47" customFormat="1">
      <c r="A180" s="59"/>
      <c r="I180" s="44"/>
      <c r="J180" s="44"/>
    </row>
    <row r="181" spans="1:10" s="47" customFormat="1">
      <c r="A181" s="59"/>
      <c r="I181" s="44"/>
      <c r="J181" s="44"/>
    </row>
    <row r="182" spans="1:10" s="47" customFormat="1">
      <c r="A182" s="59"/>
      <c r="I182" s="44"/>
      <c r="J182" s="44"/>
    </row>
    <row r="183" spans="1:10" s="47" customFormat="1">
      <c r="A183" s="59"/>
      <c r="I183" s="44"/>
      <c r="J183" s="44"/>
    </row>
    <row r="184" spans="1:10" s="47" customFormat="1">
      <c r="A184" s="59"/>
      <c r="I184" s="44"/>
      <c r="J184" s="44"/>
    </row>
    <row r="185" spans="1:10" s="47" customFormat="1">
      <c r="A185" s="59"/>
      <c r="I185" s="44"/>
      <c r="J185" s="44"/>
    </row>
    <row r="186" spans="1:10" s="47" customFormat="1">
      <c r="A186" s="59"/>
      <c r="I186" s="44"/>
      <c r="J186" s="44"/>
    </row>
    <row r="187" spans="1:10" s="47" customFormat="1">
      <c r="A187" s="59"/>
      <c r="I187" s="44"/>
      <c r="J187" s="44"/>
    </row>
    <row r="188" spans="1:10" s="47" customFormat="1">
      <c r="A188" s="59"/>
      <c r="I188" s="44"/>
      <c r="J188" s="44"/>
    </row>
    <row r="189" spans="1:10" s="47" customFormat="1">
      <c r="A189" s="59"/>
      <c r="I189" s="44"/>
      <c r="J189" s="44"/>
    </row>
    <row r="190" spans="1:10" s="47" customFormat="1">
      <c r="A190" s="59"/>
      <c r="I190" s="44"/>
      <c r="J190" s="44"/>
    </row>
    <row r="191" spans="1:10" s="47" customFormat="1">
      <c r="A191" s="59"/>
      <c r="I191" s="44"/>
      <c r="J191" s="44"/>
    </row>
    <row r="192" spans="1:10" s="47" customFormat="1">
      <c r="A192" s="59"/>
      <c r="I192" s="44"/>
      <c r="J192" s="44"/>
    </row>
    <row r="193" spans="1:10" s="47" customFormat="1">
      <c r="A193" s="59"/>
      <c r="I193" s="44"/>
      <c r="J193" s="44"/>
    </row>
    <row r="194" spans="1:10" s="47" customFormat="1">
      <c r="A194" s="59"/>
      <c r="I194" s="44"/>
      <c r="J194" s="44"/>
    </row>
    <row r="195" spans="1:10" s="47" customFormat="1">
      <c r="A195" s="59"/>
      <c r="I195" s="44"/>
      <c r="J195" s="44"/>
    </row>
    <row r="196" spans="1:10" s="47" customFormat="1">
      <c r="A196" s="59"/>
      <c r="I196" s="44"/>
      <c r="J196" s="44"/>
    </row>
    <row r="197" spans="1:10" s="47" customFormat="1">
      <c r="A197" s="59"/>
      <c r="I197" s="44"/>
      <c r="J197" s="44"/>
    </row>
    <row r="198" spans="1:10" s="47" customFormat="1">
      <c r="A198" s="59"/>
      <c r="I198" s="44"/>
      <c r="J198" s="44"/>
    </row>
    <row r="199" spans="1:10" s="47" customFormat="1">
      <c r="A199" s="59"/>
      <c r="I199" s="44"/>
      <c r="J199" s="44"/>
    </row>
    <row r="200" spans="1:10" s="47" customFormat="1">
      <c r="A200" s="59"/>
      <c r="I200" s="44"/>
      <c r="J200" s="44"/>
    </row>
    <row r="201" spans="1:10" s="47" customFormat="1">
      <c r="A201" s="59"/>
      <c r="I201" s="44"/>
      <c r="J201" s="44"/>
    </row>
    <row r="202" spans="1:10" s="47" customFormat="1">
      <c r="A202" s="59"/>
      <c r="I202" s="44"/>
      <c r="J202" s="44"/>
    </row>
    <row r="203" spans="1:10" s="47" customFormat="1">
      <c r="A203" s="59"/>
      <c r="I203" s="44"/>
      <c r="J203" s="44"/>
    </row>
    <row r="204" spans="1:10" s="47" customFormat="1">
      <c r="A204" s="59"/>
      <c r="I204" s="44"/>
      <c r="J204" s="44"/>
    </row>
    <row r="205" spans="1:10" s="47" customFormat="1">
      <c r="A205" s="59"/>
      <c r="I205" s="44"/>
      <c r="J205" s="44"/>
    </row>
    <row r="206" spans="1:10" s="47" customFormat="1">
      <c r="A206" s="59"/>
      <c r="I206" s="44"/>
      <c r="J206" s="44"/>
    </row>
    <row r="207" spans="1:10" s="47" customFormat="1">
      <c r="A207" s="59"/>
      <c r="I207" s="44"/>
      <c r="J207" s="44"/>
    </row>
    <row r="208" spans="1:10" s="47" customFormat="1">
      <c r="A208" s="59"/>
      <c r="I208" s="44"/>
      <c r="J208" s="44"/>
    </row>
  </sheetData>
  <mergeCells count="11">
    <mergeCell ref="C58:D58"/>
    <mergeCell ref="F58:H58"/>
    <mergeCell ref="A7:H7"/>
    <mergeCell ref="C57:D57"/>
    <mergeCell ref="F57:H57"/>
    <mergeCell ref="A20:H20"/>
    <mergeCell ref="A3:H3"/>
    <mergeCell ref="A4:A5"/>
    <mergeCell ref="B4:B5"/>
    <mergeCell ref="C4:D4"/>
    <mergeCell ref="E4:H4"/>
  </mergeCells>
  <phoneticPr fontId="3" type="noConversion"/>
  <pageMargins left="0.78740157480314965" right="0.39370078740157483" top="0.47244094488188981" bottom="0.19685039370078741" header="0.19685039370078741" footer="0.11811023622047245"/>
  <pageSetup paperSize="9" scale="64" fitToHeight="2" orientation="landscape" verticalDpi="300" r:id="rId1"/>
  <headerFooter alignWithMargins="0">
    <oddHeader xml:space="preserve">&amp;C
&amp;R
</oddHeader>
  </headerFooter>
  <rowBreaks count="1" manualBreakCount="1">
    <brk id="32" max="7" man="1"/>
  </rowBreaks>
  <ignoredErrors>
    <ignoredError sqref="H14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I104"/>
  <sheetViews>
    <sheetView view="pageBreakPreview" zoomScale="75" zoomScaleNormal="75" zoomScaleSheetLayoutView="75" workbookViewId="0">
      <pane xSplit="1" ySplit="7" topLeftCell="B80" activePane="bottomRight" state="frozen"/>
      <selection activeCell="F65" sqref="F65"/>
      <selection pane="topRight" activeCell="F65" sqref="F65"/>
      <selection pane="bottomLeft" activeCell="F65" sqref="F65"/>
      <selection pane="bottomRight" activeCell="F73" sqref="F73"/>
    </sheetView>
  </sheetViews>
  <sheetFormatPr defaultRowHeight="18.75"/>
  <cols>
    <col min="1" max="1" width="82.85546875" style="1" customWidth="1"/>
    <col min="2" max="2" width="15" style="1" customWidth="1"/>
    <col min="3" max="7" width="20.42578125" style="1" customWidth="1"/>
    <col min="8" max="8" width="18.42578125" style="13" customWidth="1"/>
    <col min="9" max="9" width="21.7109375" style="2" customWidth="1"/>
    <col min="10" max="16384" width="9.140625" style="1"/>
  </cols>
  <sheetData>
    <row r="1" spans="1:9">
      <c r="H1" s="107" t="s">
        <v>202</v>
      </c>
    </row>
    <row r="2" spans="1:9">
      <c r="H2" s="107" t="s">
        <v>183</v>
      </c>
    </row>
    <row r="3" spans="1:9">
      <c r="A3" s="314" t="s">
        <v>524</v>
      </c>
      <c r="B3" s="314"/>
      <c r="C3" s="314"/>
      <c r="D3" s="314"/>
      <c r="E3" s="314"/>
      <c r="F3" s="314"/>
      <c r="G3" s="314"/>
      <c r="H3" s="314"/>
    </row>
    <row r="4" spans="1:9">
      <c r="A4" s="20"/>
      <c r="B4" s="20"/>
      <c r="C4" s="20"/>
      <c r="D4" s="20"/>
      <c r="E4" s="20"/>
      <c r="F4" s="20"/>
      <c r="G4" s="20"/>
      <c r="H4" s="107"/>
    </row>
    <row r="5" spans="1:9" ht="48" customHeight="1">
      <c r="A5" s="327" t="s">
        <v>242</v>
      </c>
      <c r="B5" s="349" t="s">
        <v>13</v>
      </c>
      <c r="C5" s="327" t="s">
        <v>262</v>
      </c>
      <c r="D5" s="327"/>
      <c r="E5" s="328" t="s">
        <v>196</v>
      </c>
      <c r="F5" s="328"/>
      <c r="G5" s="328"/>
      <c r="H5" s="328"/>
    </row>
    <row r="6" spans="1:9" ht="38.25" customHeight="1">
      <c r="A6" s="348"/>
      <c r="B6" s="350"/>
      <c r="C6" s="6" t="s">
        <v>226</v>
      </c>
      <c r="D6" s="6" t="s">
        <v>227</v>
      </c>
      <c r="E6" s="6" t="s">
        <v>228</v>
      </c>
      <c r="F6" s="6" t="s">
        <v>209</v>
      </c>
      <c r="G6" s="302" t="s">
        <v>237</v>
      </c>
      <c r="H6" s="298" t="s">
        <v>238</v>
      </c>
    </row>
    <row r="7" spans="1:9" ht="20.25">
      <c r="A7" s="194">
        <v>1</v>
      </c>
      <c r="B7" s="193">
        <v>2</v>
      </c>
      <c r="C7" s="194">
        <v>3</v>
      </c>
      <c r="D7" s="193">
        <v>4</v>
      </c>
      <c r="E7" s="194">
        <v>5</v>
      </c>
      <c r="F7" s="193">
        <v>6</v>
      </c>
      <c r="G7" s="303">
        <v>7</v>
      </c>
      <c r="H7" s="299">
        <v>8</v>
      </c>
    </row>
    <row r="8" spans="1:9" s="58" customFormat="1" ht="23.1" customHeight="1">
      <c r="A8" s="351" t="s">
        <v>144</v>
      </c>
      <c r="B8" s="351"/>
      <c r="C8" s="351"/>
      <c r="D8" s="351"/>
      <c r="E8" s="351"/>
      <c r="F8" s="351"/>
      <c r="G8" s="351"/>
      <c r="H8" s="351"/>
      <c r="I8" s="304"/>
    </row>
    <row r="9" spans="1:9" ht="23.1" customHeight="1">
      <c r="A9" s="173" t="s">
        <v>500</v>
      </c>
      <c r="B9" s="174">
        <v>3000</v>
      </c>
      <c r="C9" s="175">
        <f>SUM(C10,C11,C13,C14,C15,C19)</f>
        <v>247555</v>
      </c>
      <c r="D9" s="175">
        <f>SUM(D10,D11,D13,D14,D15,D19)</f>
        <v>215180</v>
      </c>
      <c r="E9" s="175">
        <f>SUM(E10,E11,E13,E14,E15,E19)</f>
        <v>348805.2</v>
      </c>
      <c r="F9" s="175">
        <f>SUM(F10,F11,F13,F14,F15,F19)</f>
        <v>215180</v>
      </c>
      <c r="G9" s="306">
        <f>F9-E9</f>
        <v>-133625.20000000001</v>
      </c>
      <c r="H9" s="263">
        <f>F9/E9*100</f>
        <v>61.690594062244486</v>
      </c>
    </row>
    <row r="10" spans="1:9" ht="23.1" customHeight="1">
      <c r="A10" s="45" t="s">
        <v>501</v>
      </c>
      <c r="B10" s="5">
        <v>3010</v>
      </c>
      <c r="C10" s="284">
        <f>19265.9+19907.2+24089+27008.9</f>
        <v>90271</v>
      </c>
      <c r="D10" s="104">
        <f>31791.2-14.4+28577-13.5+16925-14.8+16072.5</f>
        <v>93323</v>
      </c>
      <c r="E10" s="104">
        <v>344725.2</v>
      </c>
      <c r="F10" s="104">
        <v>93323</v>
      </c>
      <c r="G10" s="307">
        <f t="shared" ref="G10:G24" si="0">F10-E10</f>
        <v>-251402.2</v>
      </c>
      <c r="H10" s="264">
        <f>F10/E10*100</f>
        <v>27.071708131578426</v>
      </c>
    </row>
    <row r="11" spans="1:9" ht="23.1" customHeight="1">
      <c r="A11" s="45" t="s">
        <v>502</v>
      </c>
      <c r="B11" s="5">
        <v>3020</v>
      </c>
      <c r="C11" s="284">
        <v>0</v>
      </c>
      <c r="D11" s="104">
        <v>400</v>
      </c>
      <c r="E11" s="104"/>
      <c r="F11" s="104">
        <v>400</v>
      </c>
      <c r="G11" s="307">
        <f t="shared" si="0"/>
        <v>400</v>
      </c>
      <c r="H11" s="264"/>
    </row>
    <row r="12" spans="1:9" ht="23.1" customHeight="1">
      <c r="A12" s="45" t="s">
        <v>503</v>
      </c>
      <c r="B12" s="5">
        <v>3021</v>
      </c>
      <c r="C12" s="284">
        <v>0</v>
      </c>
      <c r="D12" s="104"/>
      <c r="E12" s="104"/>
      <c r="F12" s="104"/>
      <c r="G12" s="307">
        <f t="shared" si="0"/>
        <v>0</v>
      </c>
      <c r="H12" s="264"/>
    </row>
    <row r="13" spans="1:9" ht="23.1" customHeight="1">
      <c r="A13" s="45" t="s">
        <v>504</v>
      </c>
      <c r="B13" s="5">
        <v>3030</v>
      </c>
      <c r="C13" s="284">
        <f>184.6+1297.4</f>
        <v>1482</v>
      </c>
      <c r="D13" s="104">
        <f>453+0.6+569.7+519.4+496.3</f>
        <v>2039</v>
      </c>
      <c r="E13" s="104"/>
      <c r="F13" s="104">
        <v>2039</v>
      </c>
      <c r="G13" s="307">
        <f t="shared" si="0"/>
        <v>2039</v>
      </c>
      <c r="H13" s="264"/>
    </row>
    <row r="14" spans="1:9" ht="23.1" customHeight="1">
      <c r="A14" s="254" t="s">
        <v>505</v>
      </c>
      <c r="B14" s="255">
        <v>3040</v>
      </c>
      <c r="C14" s="284">
        <f>36347.4+42860.8+38842+27656.8</f>
        <v>145707</v>
      </c>
      <c r="D14" s="251">
        <f>31539.8+23143.3+30836.8+28474.1</f>
        <v>113994</v>
      </c>
      <c r="E14" s="251"/>
      <c r="F14" s="251">
        <v>113994</v>
      </c>
      <c r="G14" s="308">
        <f t="shared" si="0"/>
        <v>113994</v>
      </c>
      <c r="H14" s="264"/>
    </row>
    <row r="15" spans="1:9" ht="34.5" customHeight="1">
      <c r="A15" s="261" t="s">
        <v>506</v>
      </c>
      <c r="B15" s="5">
        <v>3050</v>
      </c>
      <c r="C15" s="284">
        <v>0</v>
      </c>
      <c r="D15" s="104">
        <f>D16+D17+D18</f>
        <v>0</v>
      </c>
      <c r="E15" s="104">
        <f>E16+E17+E18</f>
        <v>0</v>
      </c>
      <c r="F15" s="104">
        <f>F16+F17+F18</f>
        <v>0</v>
      </c>
      <c r="G15" s="307">
        <f t="shared" si="0"/>
        <v>0</v>
      </c>
      <c r="H15" s="264"/>
    </row>
    <row r="16" spans="1:9" ht="23.1" customHeight="1">
      <c r="A16" s="262" t="s">
        <v>95</v>
      </c>
      <c r="B16" s="5">
        <v>3051</v>
      </c>
      <c r="C16" s="284"/>
      <c r="D16" s="104"/>
      <c r="E16" s="104"/>
      <c r="F16" s="104"/>
      <c r="G16" s="307">
        <f t="shared" si="0"/>
        <v>0</v>
      </c>
      <c r="H16" s="264"/>
    </row>
    <row r="17" spans="1:8" ht="23.1" customHeight="1">
      <c r="A17" s="262" t="s">
        <v>507</v>
      </c>
      <c r="B17" s="5">
        <v>3052</v>
      </c>
      <c r="C17" s="284"/>
      <c r="D17" s="104"/>
      <c r="E17" s="104"/>
      <c r="F17" s="104"/>
      <c r="G17" s="307">
        <f t="shared" si="0"/>
        <v>0</v>
      </c>
      <c r="H17" s="264"/>
    </row>
    <row r="18" spans="1:8" ht="23.1" customHeight="1">
      <c r="A18" s="262" t="s">
        <v>119</v>
      </c>
      <c r="B18" s="5">
        <v>3053</v>
      </c>
      <c r="C18" s="284"/>
      <c r="D18" s="104"/>
      <c r="E18" s="104"/>
      <c r="F18" s="104"/>
      <c r="G18" s="307">
        <f t="shared" si="0"/>
        <v>0</v>
      </c>
      <c r="H18" s="264"/>
    </row>
    <row r="19" spans="1:8" ht="23.1" customHeight="1">
      <c r="A19" s="234" t="s">
        <v>508</v>
      </c>
      <c r="B19" s="191">
        <v>3060</v>
      </c>
      <c r="C19" s="284">
        <f>SUM(C20:C26)</f>
        <v>10095</v>
      </c>
      <c r="D19" s="235">
        <f>SUM(D20:D26)</f>
        <v>5424</v>
      </c>
      <c r="E19" s="235">
        <f>SUM(E20:E26)</f>
        <v>4080</v>
      </c>
      <c r="F19" s="235">
        <f>SUM(F20:F26)</f>
        <v>5424</v>
      </c>
      <c r="G19" s="309">
        <f t="shared" si="0"/>
        <v>1344</v>
      </c>
      <c r="H19" s="264">
        <f>F19/E19*100</f>
        <v>132.94117647058823</v>
      </c>
    </row>
    <row r="20" spans="1:8" ht="23.1" customHeight="1">
      <c r="A20" s="172" t="s">
        <v>673</v>
      </c>
      <c r="B20" s="5">
        <v>3061</v>
      </c>
      <c r="C20" s="284">
        <f>224.4+126.4+515.4+1166.8</f>
        <v>2033</v>
      </c>
      <c r="D20" s="104">
        <v>653</v>
      </c>
      <c r="E20" s="104">
        <v>1600</v>
      </c>
      <c r="F20" s="104">
        <f>D20</f>
        <v>653</v>
      </c>
      <c r="G20" s="307">
        <f>F20-E20</f>
        <v>-947</v>
      </c>
      <c r="H20" s="264">
        <f>F20/E20*100</f>
        <v>40.8125</v>
      </c>
    </row>
    <row r="21" spans="1:8" ht="23.1" customHeight="1">
      <c r="A21" s="172" t="s">
        <v>614</v>
      </c>
      <c r="B21" s="5">
        <v>3062</v>
      </c>
      <c r="C21" s="284">
        <f>15.8+15.6+15.6+17</f>
        <v>64</v>
      </c>
      <c r="D21" s="104">
        <f>14.4+13.5+14.8+14.3</f>
        <v>57</v>
      </c>
      <c r="E21" s="104">
        <v>168</v>
      </c>
      <c r="F21" s="311">
        <f t="shared" ref="F21:F26" si="1">D21</f>
        <v>57</v>
      </c>
      <c r="G21" s="307">
        <f>F21-E21</f>
        <v>-111</v>
      </c>
      <c r="H21" s="264">
        <f>F21/E21*100</f>
        <v>33.928571428571431</v>
      </c>
    </row>
    <row r="22" spans="1:8" ht="23.1" customHeight="1">
      <c r="A22" s="172" t="s">
        <v>672</v>
      </c>
      <c r="B22" s="5">
        <v>3063</v>
      </c>
      <c r="C22" s="284"/>
      <c r="D22" s="104"/>
      <c r="E22" s="104"/>
      <c r="F22" s="311">
        <f t="shared" si="1"/>
        <v>0</v>
      </c>
      <c r="G22" s="307">
        <f>F22-E22</f>
        <v>0</v>
      </c>
      <c r="H22" s="264"/>
    </row>
    <row r="23" spans="1:8" ht="23.1" customHeight="1">
      <c r="A23" s="109" t="s">
        <v>639</v>
      </c>
      <c r="B23" s="5">
        <v>3064</v>
      </c>
      <c r="C23" s="284">
        <v>0</v>
      </c>
      <c r="D23" s="104"/>
      <c r="E23" s="104"/>
      <c r="F23" s="311">
        <f t="shared" si="1"/>
        <v>0</v>
      </c>
      <c r="G23" s="307">
        <f t="shared" si="0"/>
        <v>0</v>
      </c>
      <c r="H23" s="264"/>
    </row>
    <row r="24" spans="1:8" ht="23.1" customHeight="1">
      <c r="A24" s="109" t="s">
        <v>671</v>
      </c>
      <c r="B24" s="8">
        <v>3065</v>
      </c>
      <c r="C24" s="284">
        <v>0</v>
      </c>
      <c r="D24" s="110"/>
      <c r="E24" s="149"/>
      <c r="F24" s="311">
        <f t="shared" si="1"/>
        <v>0</v>
      </c>
      <c r="G24" s="307">
        <f t="shared" si="0"/>
        <v>0</v>
      </c>
      <c r="H24" s="264"/>
    </row>
    <row r="25" spans="1:8" ht="23.1" customHeight="1">
      <c r="A25" s="109" t="s">
        <v>713</v>
      </c>
      <c r="B25" s="8">
        <v>3066</v>
      </c>
      <c r="C25" s="284">
        <v>0</v>
      </c>
      <c r="D25" s="110">
        <f>106+90.1-0.1</f>
        <v>196</v>
      </c>
      <c r="E25" s="149"/>
      <c r="F25" s="311">
        <f t="shared" si="1"/>
        <v>196</v>
      </c>
      <c r="G25" s="307"/>
      <c r="H25" s="264"/>
    </row>
    <row r="26" spans="1:8" ht="23.1" customHeight="1">
      <c r="A26" s="172" t="s">
        <v>615</v>
      </c>
      <c r="B26" s="8">
        <v>3067</v>
      </c>
      <c r="C26" s="295">
        <f>1146.1+1121.9+589.2+3650.8+1490</f>
        <v>7998</v>
      </c>
      <c r="D26" s="104">
        <f>(694.9+56.2+1.8+1.2+9.5+5.7)+893.2+799.8+1457.7+598</f>
        <v>4518</v>
      </c>
      <c r="E26" s="104">
        <v>2312</v>
      </c>
      <c r="F26" s="311">
        <f t="shared" si="1"/>
        <v>4518</v>
      </c>
      <c r="G26" s="307">
        <f t="shared" ref="G26:G44" si="2">F26-E26</f>
        <v>2206</v>
      </c>
      <c r="H26" s="264">
        <f t="shared" ref="H26:H44" si="3">F26/E26*100</f>
        <v>195.41522491349482</v>
      </c>
    </row>
    <row r="27" spans="1:8" ht="23.1" customHeight="1">
      <c r="A27" s="176" t="s">
        <v>509</v>
      </c>
      <c r="B27" s="174">
        <v>3100</v>
      </c>
      <c r="C27" s="182">
        <f t="shared" ref="C27:D27" si="4">SUM(C28,C29,C30,C34,C52,C53)</f>
        <v>-257932.30000000002</v>
      </c>
      <c r="D27" s="182">
        <f t="shared" si="4"/>
        <v>-222042</v>
      </c>
      <c r="E27" s="182">
        <f>SUM(E28,E29,E30,E34,E52,E53)</f>
        <v>-328096</v>
      </c>
      <c r="F27" s="182">
        <f>SUM(F28,F29,F30,F34,F52,F53)</f>
        <v>-222042</v>
      </c>
      <c r="G27" s="306">
        <f t="shared" si="2"/>
        <v>106054</v>
      </c>
      <c r="H27" s="263">
        <f t="shared" si="3"/>
        <v>67.675924119769832</v>
      </c>
    </row>
    <row r="28" spans="1:8" ht="23.1" customHeight="1">
      <c r="A28" s="7" t="s">
        <v>510</v>
      </c>
      <c r="B28" s="8">
        <v>3110</v>
      </c>
      <c r="C28" s="170">
        <f>-42544+737.7+7236</f>
        <v>-34570.300000000003</v>
      </c>
      <c r="D28" s="170">
        <v>-39594</v>
      </c>
      <c r="E28" s="170">
        <v>-88769</v>
      </c>
      <c r="F28" s="170">
        <f>D28</f>
        <v>-39594</v>
      </c>
      <c r="G28" s="307">
        <f t="shared" si="2"/>
        <v>49175</v>
      </c>
      <c r="H28" s="264">
        <f t="shared" si="3"/>
        <v>44.603408847683312</v>
      </c>
    </row>
    <row r="29" spans="1:8" ht="23.1" customHeight="1">
      <c r="A29" s="7" t="s">
        <v>511</v>
      </c>
      <c r="B29" s="8">
        <v>3120</v>
      </c>
      <c r="C29" s="170">
        <f>-15507-19774.4-23463.2-18476.4</f>
        <v>-77221</v>
      </c>
      <c r="D29" s="170">
        <f>-17789-21606.6-20378.1-17752.3</f>
        <v>-77526</v>
      </c>
      <c r="E29" s="170">
        <v>-98603.7</v>
      </c>
      <c r="F29" s="170">
        <v>-77526</v>
      </c>
      <c r="G29" s="307">
        <f t="shared" si="2"/>
        <v>21077.699999999997</v>
      </c>
      <c r="H29" s="264">
        <f t="shared" si="3"/>
        <v>78.623824460948228</v>
      </c>
    </row>
    <row r="30" spans="1:8" ht="37.5">
      <c r="A30" s="45" t="s">
        <v>512</v>
      </c>
      <c r="B30" s="8">
        <v>3130</v>
      </c>
      <c r="C30" s="170">
        <f>E30</f>
        <v>0</v>
      </c>
      <c r="D30" s="170">
        <f>SUM(D31:D33)</f>
        <v>0</v>
      </c>
      <c r="E30" s="170">
        <f>SUM(E31:E33)</f>
        <v>0</v>
      </c>
      <c r="F30" s="170">
        <f>SUM(F31:F33)</f>
        <v>0</v>
      </c>
      <c r="G30" s="307">
        <f t="shared" si="2"/>
        <v>0</v>
      </c>
      <c r="H30" s="264"/>
    </row>
    <row r="31" spans="1:8" ht="23.1" customHeight="1">
      <c r="A31" s="172" t="s">
        <v>95</v>
      </c>
      <c r="B31" s="8">
        <v>3131</v>
      </c>
      <c r="C31" s="170">
        <f>E31</f>
        <v>0</v>
      </c>
      <c r="D31" s="170"/>
      <c r="E31" s="170"/>
      <c r="F31" s="170"/>
      <c r="G31" s="307">
        <f t="shared" si="2"/>
        <v>0</v>
      </c>
      <c r="H31" s="264"/>
    </row>
    <row r="32" spans="1:8" ht="23.1" customHeight="1">
      <c r="A32" s="172" t="s">
        <v>507</v>
      </c>
      <c r="B32" s="8">
        <v>3132</v>
      </c>
      <c r="C32" s="170">
        <f>E32</f>
        <v>0</v>
      </c>
      <c r="D32" s="170"/>
      <c r="E32" s="170"/>
      <c r="F32" s="170"/>
      <c r="G32" s="307">
        <f t="shared" si="2"/>
        <v>0</v>
      </c>
      <c r="H32" s="264"/>
    </row>
    <row r="33" spans="1:9" ht="23.1" customHeight="1">
      <c r="A33" s="172" t="s">
        <v>119</v>
      </c>
      <c r="B33" s="8">
        <v>3133</v>
      </c>
      <c r="C33" s="170">
        <f>E33</f>
        <v>0</v>
      </c>
      <c r="D33" s="170"/>
      <c r="E33" s="170"/>
      <c r="F33" s="170"/>
      <c r="G33" s="307">
        <f t="shared" si="2"/>
        <v>0</v>
      </c>
      <c r="H33" s="264"/>
    </row>
    <row r="34" spans="1:9" ht="37.5">
      <c r="A34" s="7" t="s">
        <v>606</v>
      </c>
      <c r="B34" s="8">
        <v>3140</v>
      </c>
      <c r="C34" s="170">
        <f>SUM(C35:C40)+C43</f>
        <v>-107689.4</v>
      </c>
      <c r="D34" s="272">
        <f t="shared" ref="D34" si="5">SUM(D35:D40)+D43</f>
        <v>-75586</v>
      </c>
      <c r="E34" s="272">
        <f>SUM(E35:E40)+E43</f>
        <v>-136147.80000000002</v>
      </c>
      <c r="F34" s="272">
        <f>SUM(F35:F40)+F43</f>
        <v>-75586</v>
      </c>
      <c r="G34" s="307">
        <f t="shared" si="2"/>
        <v>60561.800000000017</v>
      </c>
      <c r="H34" s="264">
        <f t="shared" si="3"/>
        <v>55.517606601061487</v>
      </c>
    </row>
    <row r="35" spans="1:9" ht="23.1" customHeight="1">
      <c r="A35" s="172" t="s">
        <v>513</v>
      </c>
      <c r="B35" s="8">
        <v>3141</v>
      </c>
      <c r="C35" s="170">
        <f>-9681.6-5007.8-1734.5-590.3</f>
        <v>-17014.2</v>
      </c>
      <c r="D35" s="170">
        <f>-825.8-15.7+0.5</f>
        <v>-841</v>
      </c>
      <c r="E35" s="170">
        <v>-9547.5</v>
      </c>
      <c r="F35" s="170">
        <v>-841</v>
      </c>
      <c r="G35" s="307">
        <f t="shared" si="2"/>
        <v>8706.5</v>
      </c>
      <c r="H35" s="264">
        <f t="shared" si="3"/>
        <v>8.8085886357685261</v>
      </c>
    </row>
    <row r="36" spans="1:9" ht="23.1" customHeight="1">
      <c r="A36" s="172" t="s">
        <v>514</v>
      </c>
      <c r="B36" s="8">
        <v>3142</v>
      </c>
      <c r="C36" s="170">
        <f>-6228.4-6445.1-8119-4070</f>
        <v>-24862.5</v>
      </c>
      <c r="D36" s="170">
        <f>-8611.2-6471.8-6274.1-3093.9</f>
        <v>-24451</v>
      </c>
      <c r="E36" s="170">
        <v>-37925.800000000003</v>
      </c>
      <c r="F36" s="170">
        <v>-24451</v>
      </c>
      <c r="G36" s="307">
        <f t="shared" si="2"/>
        <v>13474.800000000003</v>
      </c>
      <c r="H36" s="264">
        <f t="shared" si="3"/>
        <v>64.470624218869474</v>
      </c>
    </row>
    <row r="37" spans="1:9" ht="23.1" customHeight="1">
      <c r="A37" s="172" t="s">
        <v>89</v>
      </c>
      <c r="B37" s="8">
        <v>3143</v>
      </c>
      <c r="C37" s="170">
        <v>0</v>
      </c>
      <c r="D37" s="170"/>
      <c r="E37" s="170"/>
      <c r="F37" s="170"/>
      <c r="G37" s="307">
        <f t="shared" si="2"/>
        <v>0</v>
      </c>
      <c r="H37" s="264"/>
    </row>
    <row r="38" spans="1:9" ht="23.1" customHeight="1">
      <c r="A38" s="172" t="s">
        <v>515</v>
      </c>
      <c r="B38" s="8">
        <v>3144</v>
      </c>
      <c r="C38" s="170">
        <f>-537.5</f>
        <v>-537.5</v>
      </c>
      <c r="D38" s="170">
        <f>-35.7-0.4-1.1-59.3</f>
        <v>-96.5</v>
      </c>
      <c r="E38" s="170">
        <v>-700</v>
      </c>
      <c r="F38" s="170">
        <v>-96.5</v>
      </c>
      <c r="G38" s="307">
        <f t="shared" si="2"/>
        <v>603.5</v>
      </c>
      <c r="H38" s="264">
        <f t="shared" si="3"/>
        <v>13.785714285714285</v>
      </c>
    </row>
    <row r="39" spans="1:9" ht="23.1" customHeight="1">
      <c r="A39" s="172" t="s">
        <v>88</v>
      </c>
      <c r="B39" s="8">
        <v>3145</v>
      </c>
      <c r="C39" s="170">
        <f>-3600.3-4466.8-5473.6-4222.9</f>
        <v>-17763.599999999999</v>
      </c>
      <c r="D39" s="170">
        <f>-4087.9-4948.9-4649.4-4075</f>
        <v>-17761.199999999997</v>
      </c>
      <c r="E39" s="170">
        <v>-22048</v>
      </c>
      <c r="F39" s="170">
        <v>-17761.2</v>
      </c>
      <c r="G39" s="307">
        <f t="shared" si="2"/>
        <v>4286.7999999999993</v>
      </c>
      <c r="H39" s="264">
        <f t="shared" si="3"/>
        <v>80.556966618287376</v>
      </c>
    </row>
    <row r="40" spans="1:9" ht="23.1" customHeight="1">
      <c r="A40" s="172" t="s">
        <v>516</v>
      </c>
      <c r="B40" s="8">
        <v>3146</v>
      </c>
      <c r="C40" s="170">
        <f>SUM(C41:C42)</f>
        <v>-20437.599999999999</v>
      </c>
      <c r="D40" s="170">
        <f>SUM(D41:D42)</f>
        <v>-4675</v>
      </c>
      <c r="E40" s="170">
        <f>SUM(E41:E42)</f>
        <v>-32792.400000000001</v>
      </c>
      <c r="F40" s="170">
        <f>SUM(F41:F42)</f>
        <v>-4675</v>
      </c>
      <c r="G40" s="307">
        <f t="shared" si="2"/>
        <v>28117.4</v>
      </c>
      <c r="H40" s="264">
        <f t="shared" si="3"/>
        <v>14.256352081579879</v>
      </c>
    </row>
    <row r="41" spans="1:9" ht="37.5">
      <c r="A41" s="171" t="s">
        <v>518</v>
      </c>
      <c r="B41" s="5" t="s">
        <v>517</v>
      </c>
      <c r="C41" s="170">
        <f>-1646.8-10677-4834.8-3279</f>
        <v>-20437.599999999999</v>
      </c>
      <c r="D41" s="170">
        <f>-4587.7-87.3</f>
        <v>-4675</v>
      </c>
      <c r="E41" s="170">
        <v>-32792.400000000001</v>
      </c>
      <c r="F41" s="170">
        <v>-4675</v>
      </c>
      <c r="G41" s="307">
        <f t="shared" si="2"/>
        <v>28117.4</v>
      </c>
      <c r="H41" s="264">
        <f t="shared" si="3"/>
        <v>14.256352081579879</v>
      </c>
    </row>
    <row r="42" spans="1:9" ht="37.5">
      <c r="A42" s="171" t="s">
        <v>519</v>
      </c>
      <c r="B42" s="38" t="s">
        <v>520</v>
      </c>
      <c r="C42" s="170">
        <f>E42</f>
        <v>0</v>
      </c>
      <c r="D42" s="170"/>
      <c r="E42" s="170"/>
      <c r="F42" s="170"/>
      <c r="G42" s="307">
        <f t="shared" si="2"/>
        <v>0</v>
      </c>
      <c r="H42" s="264"/>
    </row>
    <row r="43" spans="1:9" ht="23.1" customHeight="1">
      <c r="A43" s="7" t="s">
        <v>607</v>
      </c>
      <c r="B43" s="148">
        <v>3150</v>
      </c>
      <c r="C43" s="170">
        <f>SUM(C44:C51)</f>
        <v>-27074</v>
      </c>
      <c r="D43" s="170">
        <f>SUM(D44:D51)</f>
        <v>-27761.3</v>
      </c>
      <c r="E43" s="170">
        <f>SUM(E44:E51)</f>
        <v>-33134.1</v>
      </c>
      <c r="F43" s="272">
        <f>SUM(F44:F51)</f>
        <v>-27761.3</v>
      </c>
      <c r="G43" s="307">
        <f t="shared" si="2"/>
        <v>5372.7999999999993</v>
      </c>
      <c r="H43" s="264">
        <f t="shared" si="3"/>
        <v>83.784681038567527</v>
      </c>
    </row>
    <row r="44" spans="1:9" ht="23.1" customHeight="1">
      <c r="A44" s="172" t="s">
        <v>634</v>
      </c>
      <c r="B44" s="190">
        <v>3151</v>
      </c>
      <c r="C44" s="170">
        <f>-103.6-129.5-144.6-144.6</f>
        <v>-522.29999999999995</v>
      </c>
      <c r="D44" s="170">
        <f>-156.4-162-208-115.7</f>
        <v>-642.1</v>
      </c>
      <c r="E44" s="170">
        <v>-664.8</v>
      </c>
      <c r="F44" s="170">
        <v>-642.1</v>
      </c>
      <c r="G44" s="307">
        <f t="shared" si="2"/>
        <v>22.699999999999932</v>
      </c>
      <c r="H44" s="264">
        <f t="shared" si="3"/>
        <v>96.585439229843573</v>
      </c>
      <c r="I44" s="305"/>
    </row>
    <row r="45" spans="1:9" ht="23.1" customHeight="1">
      <c r="A45" s="172" t="s">
        <v>609</v>
      </c>
      <c r="B45" s="190">
        <v>3152</v>
      </c>
      <c r="C45" s="170">
        <f>-0.5-0.7-0.9-0.6</f>
        <v>-2.7</v>
      </c>
      <c r="D45" s="170">
        <f>-0.3-0.5-0.4-1.5</f>
        <v>-2.7</v>
      </c>
      <c r="E45" s="170">
        <v>-8</v>
      </c>
      <c r="F45" s="170">
        <v>-2.7</v>
      </c>
      <c r="G45" s="307">
        <f>F45-E45</f>
        <v>5.3</v>
      </c>
      <c r="H45" s="264">
        <f>F45/E45*100</f>
        <v>33.75</v>
      </c>
      <c r="I45" s="305"/>
    </row>
    <row r="46" spans="1:9" ht="23.1" customHeight="1">
      <c r="A46" s="172" t="s">
        <v>668</v>
      </c>
      <c r="B46" s="183">
        <v>3153</v>
      </c>
      <c r="C46" s="170">
        <v>-453.1</v>
      </c>
      <c r="D46" s="170">
        <f>-153.9-3.3-496.4-79.1</f>
        <v>-732.7</v>
      </c>
      <c r="E46" s="170">
        <v>-337.9</v>
      </c>
      <c r="F46" s="170">
        <v>-732.7</v>
      </c>
      <c r="G46" s="307">
        <f t="shared" ref="G46:G58" si="6">F46-E46</f>
        <v>-394.80000000000007</v>
      </c>
      <c r="H46" s="264">
        <f t="shared" ref="H46:H58" si="7">F46/E46*100</f>
        <v>216.83930156851142</v>
      </c>
      <c r="I46" s="305"/>
    </row>
    <row r="47" spans="1:9" ht="23.1" customHeight="1">
      <c r="A47" s="172" t="s">
        <v>674</v>
      </c>
      <c r="B47" s="183">
        <v>3154</v>
      </c>
      <c r="C47" s="170">
        <f>-695.3-744.6-728.9-728.9</f>
        <v>-2897.7000000000003</v>
      </c>
      <c r="D47" s="170">
        <f>-758.5-773.2-773.3-773.3</f>
        <v>-3078.3</v>
      </c>
      <c r="E47" s="170">
        <v>-3338.4</v>
      </c>
      <c r="F47" s="170">
        <v>-3078.3</v>
      </c>
      <c r="G47" s="307">
        <f t="shared" si="6"/>
        <v>260.09999999999991</v>
      </c>
      <c r="H47" s="264">
        <f t="shared" si="7"/>
        <v>92.208842559309858</v>
      </c>
      <c r="I47" s="305"/>
    </row>
    <row r="48" spans="1:9" ht="23.1" customHeight="1">
      <c r="A48" s="172" t="s">
        <v>675</v>
      </c>
      <c r="B48" s="183">
        <v>3155</v>
      </c>
      <c r="C48" s="170"/>
      <c r="D48" s="170"/>
      <c r="E48" s="170"/>
      <c r="F48" s="170"/>
      <c r="G48" s="307"/>
      <c r="H48" s="264"/>
    </row>
    <row r="49" spans="1:8" ht="23.1" customHeight="1">
      <c r="A49" s="172" t="s">
        <v>676</v>
      </c>
      <c r="B49" s="183">
        <v>3156</v>
      </c>
      <c r="C49" s="170"/>
      <c r="D49" s="170"/>
      <c r="E49" s="170"/>
      <c r="F49" s="170"/>
      <c r="G49" s="307"/>
      <c r="H49" s="264"/>
    </row>
    <row r="50" spans="1:8" ht="35.25" customHeight="1">
      <c r="A50" s="172" t="s">
        <v>635</v>
      </c>
      <c r="B50" s="183">
        <v>3157</v>
      </c>
      <c r="C50" s="170">
        <f>-4760.1-5340.3-6511.7-5110</f>
        <v>-21722.100000000002</v>
      </c>
      <c r="D50" s="170">
        <f>-4942.4-5981.6-5605.3-4895.7</f>
        <v>-21425</v>
      </c>
      <c r="E50" s="170">
        <v>-26947.599999999999</v>
      </c>
      <c r="F50" s="170">
        <v>-21425</v>
      </c>
      <c r="G50" s="307">
        <f t="shared" si="6"/>
        <v>5522.5999999999985</v>
      </c>
      <c r="H50" s="264">
        <f t="shared" si="7"/>
        <v>79.506152681500396</v>
      </c>
    </row>
    <row r="51" spans="1:8" ht="23.1" customHeight="1">
      <c r="A51" s="172" t="s">
        <v>636</v>
      </c>
      <c r="B51" s="183">
        <v>3158</v>
      </c>
      <c r="C51" s="170">
        <f>-295.5-376-452.1-352.5</f>
        <v>-1476.1</v>
      </c>
      <c r="D51" s="170">
        <f>(-340.6-412.4-394.9-332.2)-400.4</f>
        <v>-1880.5</v>
      </c>
      <c r="E51" s="170">
        <v>-1837.4</v>
      </c>
      <c r="F51" s="170">
        <f>-1480.1-400.4</f>
        <v>-1880.5</v>
      </c>
      <c r="G51" s="307">
        <f t="shared" si="6"/>
        <v>-43.099999999999909</v>
      </c>
      <c r="H51" s="264">
        <f t="shared" si="7"/>
        <v>102.34570588875584</v>
      </c>
    </row>
    <row r="52" spans="1:8" ht="23.1" customHeight="1">
      <c r="A52" s="7" t="s">
        <v>521</v>
      </c>
      <c r="B52" s="5">
        <v>3160</v>
      </c>
      <c r="C52" s="114"/>
      <c r="D52" s="170"/>
      <c r="E52" s="170"/>
      <c r="F52" s="170"/>
      <c r="G52" s="307">
        <f t="shared" si="6"/>
        <v>0</v>
      </c>
      <c r="H52" s="264"/>
    </row>
    <row r="53" spans="1:8" ht="23.1" customHeight="1">
      <c r="A53" s="7" t="s">
        <v>522</v>
      </c>
      <c r="B53" s="8">
        <v>3170</v>
      </c>
      <c r="C53" s="170">
        <f>SUM(C54:C59)</f>
        <v>-38451.599999999999</v>
      </c>
      <c r="D53" s="170">
        <f>SUM(D54:D59)</f>
        <v>-29336</v>
      </c>
      <c r="E53" s="170">
        <f>SUM(E54:E59)</f>
        <v>-4575.5</v>
      </c>
      <c r="F53" s="170">
        <f>SUM(F54:F59)</f>
        <v>-29336</v>
      </c>
      <c r="G53" s="307">
        <f t="shared" si="6"/>
        <v>-24760.5</v>
      </c>
      <c r="H53" s="264">
        <f t="shared" si="7"/>
        <v>641.15397224347066</v>
      </c>
    </row>
    <row r="54" spans="1:8" ht="23.1" customHeight="1">
      <c r="A54" s="172" t="s">
        <v>677</v>
      </c>
      <c r="B54" s="8">
        <v>3171</v>
      </c>
      <c r="C54" s="114"/>
      <c r="D54" s="170">
        <f>-931.3-1300.6-1382-598.6</f>
        <v>-4212.5</v>
      </c>
      <c r="E54" s="170">
        <v>-4225.5</v>
      </c>
      <c r="F54" s="170">
        <v>-4212.5</v>
      </c>
      <c r="G54" s="307">
        <f>F54-E54</f>
        <v>13</v>
      </c>
      <c r="H54" s="264">
        <f>F54/E54*100</f>
        <v>99.692344101289791</v>
      </c>
    </row>
    <row r="55" spans="1:8" ht="23.1" customHeight="1">
      <c r="A55" s="172" t="s">
        <v>637</v>
      </c>
      <c r="B55" s="8">
        <v>3172</v>
      </c>
      <c r="C55" s="114">
        <f>-27944+7236</f>
        <v>-20708</v>
      </c>
      <c r="D55" s="170">
        <f>-1876.8-2.3-5785.9-6964.1-7955.9</f>
        <v>-22585</v>
      </c>
      <c r="E55" s="170"/>
      <c r="F55" s="170">
        <f>-21748-837</f>
        <v>-22585</v>
      </c>
      <c r="G55" s="307">
        <f>F55-E55</f>
        <v>-22585</v>
      </c>
      <c r="H55" s="264"/>
    </row>
    <row r="56" spans="1:8" ht="23.1" customHeight="1">
      <c r="A56" s="172" t="s">
        <v>678</v>
      </c>
      <c r="B56" s="8">
        <v>3173</v>
      </c>
      <c r="C56" s="114"/>
      <c r="D56" s="170"/>
      <c r="E56" s="170"/>
      <c r="F56" s="170"/>
      <c r="G56" s="307">
        <f>F56-E56</f>
        <v>0</v>
      </c>
      <c r="H56" s="264"/>
    </row>
    <row r="57" spans="1:8" ht="23.1" customHeight="1">
      <c r="A57" s="172" t="s">
        <v>679</v>
      </c>
      <c r="B57" s="8">
        <v>3174</v>
      </c>
      <c r="C57" s="114"/>
      <c r="D57" s="170"/>
      <c r="E57" s="170"/>
      <c r="F57" s="170"/>
      <c r="G57" s="307">
        <f>F57-E57</f>
        <v>0</v>
      </c>
      <c r="H57" s="264"/>
    </row>
    <row r="58" spans="1:8" ht="23.1" customHeight="1">
      <c r="A58" s="172" t="s">
        <v>638</v>
      </c>
      <c r="B58" s="5">
        <v>3175</v>
      </c>
      <c r="C58" s="114">
        <f>-92.2-126.7-246.9-214.3</f>
        <v>-680.1</v>
      </c>
      <c r="D58" s="114">
        <f>-11.2-18.9-44.4-3.4-40.5-25</f>
        <v>-143.4</v>
      </c>
      <c r="E58" s="114">
        <v>-350</v>
      </c>
      <c r="F58" s="114">
        <v>-143.4</v>
      </c>
      <c r="G58" s="307">
        <f t="shared" si="6"/>
        <v>206.6</v>
      </c>
      <c r="H58" s="264">
        <f t="shared" si="7"/>
        <v>40.971428571428575</v>
      </c>
    </row>
    <row r="59" spans="1:8" ht="23.1" customHeight="1">
      <c r="A59" s="172" t="s">
        <v>680</v>
      </c>
      <c r="B59" s="5">
        <v>3176</v>
      </c>
      <c r="C59" s="114">
        <f>-2788.2-1862.9-1830.2-10582.6+0.4</f>
        <v>-17063.5</v>
      </c>
      <c r="D59" s="114">
        <f>(-55.3-99.6-155.3-2.2-979.9+931.3-195.7-3.2-8.9-0.1)-693.1-1186.8+53.7</f>
        <v>-2395.1000000000004</v>
      </c>
      <c r="E59" s="114"/>
      <c r="F59" s="114">
        <v>-2395.1</v>
      </c>
      <c r="G59" s="307">
        <f>F59-E59</f>
        <v>-2395.1</v>
      </c>
      <c r="H59" s="264"/>
    </row>
    <row r="60" spans="1:8" ht="23.1" customHeight="1">
      <c r="A60" s="176" t="s">
        <v>523</v>
      </c>
      <c r="B60" s="177">
        <v>3195</v>
      </c>
      <c r="C60" s="182">
        <f>C9+C27</f>
        <v>-10377.300000000017</v>
      </c>
      <c r="D60" s="182">
        <f>D9+D27</f>
        <v>-6862</v>
      </c>
      <c r="E60" s="182">
        <f>E9+E27</f>
        <v>20709.200000000012</v>
      </c>
      <c r="F60" s="182">
        <f>F9+F27</f>
        <v>-6862</v>
      </c>
      <c r="G60" s="306">
        <f>F60-E60</f>
        <v>-27571.200000000012</v>
      </c>
      <c r="H60" s="263">
        <f>F60/E60*100</f>
        <v>-33.135031773318119</v>
      </c>
    </row>
    <row r="61" spans="1:8" ht="23.1" customHeight="1">
      <c r="A61" s="352" t="s">
        <v>525</v>
      </c>
      <c r="B61" s="353"/>
      <c r="C61" s="353"/>
      <c r="D61" s="353"/>
      <c r="E61" s="353"/>
      <c r="F61" s="353"/>
      <c r="G61" s="353"/>
      <c r="H61" s="354"/>
    </row>
    <row r="62" spans="1:8" ht="23.1" customHeight="1">
      <c r="A62" s="176" t="s">
        <v>526</v>
      </c>
      <c r="B62" s="177">
        <v>3200</v>
      </c>
      <c r="C62" s="175">
        <f>C63+C64+C65+C66</f>
        <v>0</v>
      </c>
      <c r="D62" s="175">
        <f>D63+D64+D65+D66</f>
        <v>598</v>
      </c>
      <c r="E62" s="175">
        <f>E63+E64+E65+E66</f>
        <v>0</v>
      </c>
      <c r="F62" s="175">
        <f>F63+F64+F65+F66</f>
        <v>598</v>
      </c>
      <c r="G62" s="306">
        <f>F62-E62</f>
        <v>598</v>
      </c>
      <c r="H62" s="137"/>
    </row>
    <row r="63" spans="1:8" ht="23.1" customHeight="1">
      <c r="A63" s="7" t="s">
        <v>527</v>
      </c>
      <c r="B63" s="5">
        <v>3210</v>
      </c>
      <c r="C63" s="104"/>
      <c r="D63" s="104"/>
      <c r="E63" s="104"/>
      <c r="F63" s="104"/>
      <c r="G63" s="307">
        <f t="shared" ref="G63:G76" si="8">F63-E63</f>
        <v>0</v>
      </c>
      <c r="H63" s="103"/>
    </row>
    <row r="64" spans="1:8" ht="23.1" customHeight="1">
      <c r="A64" s="7" t="s">
        <v>528</v>
      </c>
      <c r="B64" s="5">
        <v>3220</v>
      </c>
      <c r="C64" s="104"/>
      <c r="D64" s="104"/>
      <c r="E64" s="104"/>
      <c r="F64" s="104"/>
      <c r="G64" s="307">
        <f t="shared" si="8"/>
        <v>0</v>
      </c>
      <c r="H64" s="103"/>
    </row>
    <row r="65" spans="1:8" ht="23.1" customHeight="1">
      <c r="A65" s="45" t="s">
        <v>529</v>
      </c>
      <c r="B65" s="8">
        <v>3230</v>
      </c>
      <c r="C65" s="104"/>
      <c r="D65" s="104"/>
      <c r="E65" s="104"/>
      <c r="F65" s="104"/>
      <c r="G65" s="307">
        <f t="shared" si="8"/>
        <v>0</v>
      </c>
      <c r="H65" s="103"/>
    </row>
    <row r="66" spans="1:8" ht="23.1" customHeight="1">
      <c r="A66" s="7" t="s">
        <v>530</v>
      </c>
      <c r="B66" s="8">
        <v>3240</v>
      </c>
      <c r="C66" s="104">
        <f>SUM(C67:C67)</f>
        <v>0</v>
      </c>
      <c r="D66" s="104">
        <v>598</v>
      </c>
      <c r="E66" s="104">
        <f>SUM(E67:E67)</f>
        <v>0</v>
      </c>
      <c r="F66" s="104">
        <v>598</v>
      </c>
      <c r="G66" s="307">
        <f t="shared" si="8"/>
        <v>598</v>
      </c>
      <c r="H66" s="103"/>
    </row>
    <row r="67" spans="1:8" ht="23.1" customHeight="1">
      <c r="A67" s="7"/>
      <c r="B67" s="8"/>
      <c r="C67" s="104"/>
      <c r="D67" s="104"/>
      <c r="E67" s="104"/>
      <c r="F67" s="104"/>
      <c r="G67" s="307">
        <f t="shared" si="8"/>
        <v>0</v>
      </c>
      <c r="H67" s="103"/>
    </row>
    <row r="68" spans="1:8" ht="23.1" customHeight="1">
      <c r="A68" s="176" t="s">
        <v>531</v>
      </c>
      <c r="B68" s="174">
        <v>3255</v>
      </c>
      <c r="C68" s="182">
        <f>C69+C70+C71+C72+C73</f>
        <v>-21753.699999999997</v>
      </c>
      <c r="D68" s="182">
        <f>D69+D70+D71+D72+D73</f>
        <v>-3686.9999999999995</v>
      </c>
      <c r="E68" s="182">
        <f>E69+E70+E71+E72+E73</f>
        <v>-41110.199999999997</v>
      </c>
      <c r="F68" s="182">
        <f>F69+F70+F71+F72+F73</f>
        <v>-3687</v>
      </c>
      <c r="G68" s="306">
        <f t="shared" si="8"/>
        <v>37423.199999999997</v>
      </c>
      <c r="H68" s="263">
        <f>F68/E68*100</f>
        <v>8.9685771414393525</v>
      </c>
    </row>
    <row r="69" spans="1:8" ht="23.1" customHeight="1">
      <c r="A69" s="7" t="s">
        <v>681</v>
      </c>
      <c r="B69" s="8">
        <v>3260</v>
      </c>
      <c r="C69" s="114">
        <f>-1652.3-2561.3-624.8-1705.6</f>
        <v>-6544</v>
      </c>
      <c r="D69" s="114">
        <f>-16.1-90.2-249.8-2876.7-454.2</f>
        <v>-3686.9999999999995</v>
      </c>
      <c r="E69" s="114">
        <v>-6368.2</v>
      </c>
      <c r="F69" s="114">
        <f>-3001-686</f>
        <v>-3687</v>
      </c>
      <c r="G69" s="307">
        <f t="shared" si="8"/>
        <v>2681.2</v>
      </c>
      <c r="H69" s="264">
        <f>F69/E69*100</f>
        <v>57.897050972017219</v>
      </c>
    </row>
    <row r="70" spans="1:8" ht="23.1" customHeight="1">
      <c r="A70" s="7" t="s">
        <v>532</v>
      </c>
      <c r="B70" s="5">
        <v>3265</v>
      </c>
      <c r="C70" s="114">
        <f>-81.7-484.9-171.1</f>
        <v>-737.7</v>
      </c>
      <c r="D70" s="114"/>
      <c r="E70" s="114"/>
      <c r="F70" s="114"/>
      <c r="G70" s="307">
        <f t="shared" si="8"/>
        <v>0</v>
      </c>
      <c r="H70" s="264"/>
    </row>
    <row r="71" spans="1:8" ht="23.1" customHeight="1">
      <c r="A71" s="7" t="s">
        <v>533</v>
      </c>
      <c r="B71" s="5">
        <v>3270</v>
      </c>
      <c r="C71" s="114">
        <f>E71</f>
        <v>0</v>
      </c>
      <c r="D71" s="114"/>
      <c r="E71" s="114"/>
      <c r="F71" s="114"/>
      <c r="G71" s="307">
        <f>F71-E71</f>
        <v>0</v>
      </c>
      <c r="H71" s="264"/>
    </row>
    <row r="72" spans="1:8" ht="23.1" customHeight="1">
      <c r="A72" s="7" t="s">
        <v>534</v>
      </c>
      <c r="B72" s="5">
        <v>3275</v>
      </c>
      <c r="C72" s="114">
        <f>E72</f>
        <v>0</v>
      </c>
      <c r="D72" s="114"/>
      <c r="E72" s="114"/>
      <c r="F72" s="114"/>
      <c r="G72" s="307">
        <f>F72-E72</f>
        <v>0</v>
      </c>
      <c r="H72" s="264"/>
    </row>
    <row r="73" spans="1:8" ht="23.1" customHeight="1">
      <c r="A73" s="7" t="s">
        <v>522</v>
      </c>
      <c r="B73" s="8">
        <v>3280</v>
      </c>
      <c r="C73" s="114">
        <f>C74+C75</f>
        <v>-14471.999999999998</v>
      </c>
      <c r="D73" s="114"/>
      <c r="E73" s="114">
        <v>-34742</v>
      </c>
      <c r="F73" s="114"/>
      <c r="G73" s="307">
        <f>F73-E73</f>
        <v>34742</v>
      </c>
      <c r="H73" s="264">
        <f>F73/E73*100</f>
        <v>0</v>
      </c>
    </row>
    <row r="74" spans="1:8" ht="23.1" customHeight="1">
      <c r="A74" s="172" t="s">
        <v>611</v>
      </c>
      <c r="B74" s="5" t="s">
        <v>612</v>
      </c>
      <c r="C74" s="114">
        <f>-3616.1-3724-1741.9-3588.4-885.8-342.8</f>
        <v>-13898.999999999998</v>
      </c>
      <c r="D74" s="114"/>
      <c r="E74" s="114"/>
      <c r="F74" s="114"/>
      <c r="G74" s="307">
        <f>F74-E74</f>
        <v>0</v>
      </c>
      <c r="H74" s="264" t="e">
        <f>F74/E74*100</f>
        <v>#DIV/0!</v>
      </c>
    </row>
    <row r="75" spans="1:8" ht="23.1" customHeight="1">
      <c r="A75" s="172" t="s">
        <v>547</v>
      </c>
      <c r="B75" s="5" t="s">
        <v>613</v>
      </c>
      <c r="C75" s="114">
        <f>-222.9-350.1</f>
        <v>-573</v>
      </c>
      <c r="D75" s="114"/>
      <c r="E75" s="114"/>
      <c r="F75" s="114"/>
      <c r="G75" s="307">
        <f>F75-E75</f>
        <v>0</v>
      </c>
      <c r="H75" s="264" t="e">
        <f>F75/E75*100</f>
        <v>#DIV/0!</v>
      </c>
    </row>
    <row r="76" spans="1:8" ht="23.1" customHeight="1">
      <c r="A76" s="176" t="s">
        <v>535</v>
      </c>
      <c r="B76" s="177">
        <v>3295</v>
      </c>
      <c r="C76" s="182">
        <f>C62+C68</f>
        <v>-21753.699999999997</v>
      </c>
      <c r="D76" s="182">
        <f>D62+D68</f>
        <v>-3088.9999999999995</v>
      </c>
      <c r="E76" s="182">
        <f>E62+E68</f>
        <v>-41110.199999999997</v>
      </c>
      <c r="F76" s="182">
        <f>F62+F68</f>
        <v>-3089</v>
      </c>
      <c r="G76" s="306">
        <f t="shared" si="8"/>
        <v>38021.199999999997</v>
      </c>
      <c r="H76" s="263">
        <f>F76/E76*100</f>
        <v>7.5139503091690152</v>
      </c>
    </row>
    <row r="77" spans="1:8" ht="23.1" customHeight="1">
      <c r="A77" s="352" t="s">
        <v>536</v>
      </c>
      <c r="B77" s="353"/>
      <c r="C77" s="353"/>
      <c r="D77" s="353"/>
      <c r="E77" s="353"/>
      <c r="F77" s="353"/>
      <c r="G77" s="353"/>
      <c r="H77" s="354"/>
    </row>
    <row r="78" spans="1:8" ht="23.1" customHeight="1">
      <c r="A78" s="173" t="s">
        <v>537</v>
      </c>
      <c r="B78" s="177">
        <v>3300</v>
      </c>
      <c r="C78" s="175">
        <f>C79+C80+C84</f>
        <v>0</v>
      </c>
      <c r="D78" s="175">
        <f>D79+D80+D84</f>
        <v>0</v>
      </c>
      <c r="E78" s="175">
        <f>E79+E80+E84</f>
        <v>0</v>
      </c>
      <c r="F78" s="175">
        <f>F79+F80+F84</f>
        <v>0</v>
      </c>
      <c r="G78" s="307">
        <f>F78-E78</f>
        <v>0</v>
      </c>
      <c r="H78" s="103"/>
    </row>
    <row r="79" spans="1:8" ht="23.1" customHeight="1">
      <c r="A79" s="45" t="s">
        <v>538</v>
      </c>
      <c r="B79" s="5">
        <v>3310</v>
      </c>
      <c r="C79" s="104"/>
      <c r="D79" s="104"/>
      <c r="E79" s="104"/>
      <c r="F79" s="104"/>
      <c r="G79" s="307">
        <f t="shared" ref="G79:G100" si="9">F79-E79</f>
        <v>0</v>
      </c>
      <c r="H79" s="103"/>
    </row>
    <row r="80" spans="1:8" ht="23.1" customHeight="1">
      <c r="A80" s="45" t="s">
        <v>539</v>
      </c>
      <c r="B80" s="5">
        <v>3320</v>
      </c>
      <c r="C80" s="104"/>
      <c r="D80" s="104"/>
      <c r="E80" s="104"/>
      <c r="F80" s="104"/>
      <c r="G80" s="307">
        <f t="shared" si="9"/>
        <v>0</v>
      </c>
      <c r="H80" s="103"/>
    </row>
    <row r="81" spans="1:8" ht="23.1" customHeight="1">
      <c r="A81" s="172" t="s">
        <v>95</v>
      </c>
      <c r="B81" s="5">
        <v>3321</v>
      </c>
      <c r="C81" s="104"/>
      <c r="D81" s="104"/>
      <c r="E81" s="104"/>
      <c r="F81" s="104"/>
      <c r="G81" s="307">
        <f t="shared" si="9"/>
        <v>0</v>
      </c>
      <c r="H81" s="103"/>
    </row>
    <row r="82" spans="1:8" ht="23.1" customHeight="1">
      <c r="A82" s="172" t="s">
        <v>507</v>
      </c>
      <c r="B82" s="5">
        <v>3322</v>
      </c>
      <c r="C82" s="104"/>
      <c r="D82" s="104"/>
      <c r="E82" s="104"/>
      <c r="F82" s="104"/>
      <c r="G82" s="307">
        <f t="shared" si="9"/>
        <v>0</v>
      </c>
      <c r="H82" s="103"/>
    </row>
    <row r="83" spans="1:8" ht="23.1" customHeight="1">
      <c r="A83" s="172" t="s">
        <v>119</v>
      </c>
      <c r="B83" s="5">
        <v>3323</v>
      </c>
      <c r="C83" s="104"/>
      <c r="D83" s="104"/>
      <c r="E83" s="104"/>
      <c r="F83" s="104"/>
      <c r="G83" s="307">
        <f t="shared" si="9"/>
        <v>0</v>
      </c>
      <c r="H83" s="103"/>
    </row>
    <row r="84" spans="1:8" ht="23.1" customHeight="1">
      <c r="A84" s="45" t="s">
        <v>508</v>
      </c>
      <c r="B84" s="5">
        <v>3340</v>
      </c>
      <c r="C84" s="104">
        <f>C85</f>
        <v>0</v>
      </c>
      <c r="D84" s="104">
        <f>D85</f>
        <v>0</v>
      </c>
      <c r="E84" s="104">
        <f>E85</f>
        <v>0</v>
      </c>
      <c r="F84" s="104">
        <f>F85</f>
        <v>0</v>
      </c>
      <c r="G84" s="307">
        <f t="shared" si="9"/>
        <v>0</v>
      </c>
      <c r="H84" s="103"/>
    </row>
    <row r="85" spans="1:8" ht="21.75" customHeight="1">
      <c r="A85" s="172"/>
      <c r="B85" s="5" t="s">
        <v>610</v>
      </c>
      <c r="C85" s="104"/>
      <c r="D85" s="104"/>
      <c r="E85" s="104"/>
      <c r="F85" s="104"/>
      <c r="G85" s="307">
        <f t="shared" si="9"/>
        <v>0</v>
      </c>
      <c r="H85" s="103"/>
    </row>
    <row r="86" spans="1:8" ht="23.1" customHeight="1">
      <c r="A86" s="173" t="s">
        <v>540</v>
      </c>
      <c r="B86" s="177">
        <v>3345</v>
      </c>
      <c r="C86" s="182">
        <f>C87+C88+C92+C93</f>
        <v>-8000</v>
      </c>
      <c r="D86" s="182">
        <f>D87+D88+D92+D93</f>
        <v>-2500</v>
      </c>
      <c r="E86" s="182">
        <f>E87+E88+E92+E93</f>
        <v>-2500</v>
      </c>
      <c r="F86" s="182">
        <f>F87+F88+F92+F93</f>
        <v>-2500</v>
      </c>
      <c r="G86" s="307">
        <f t="shared" si="9"/>
        <v>0</v>
      </c>
      <c r="H86" s="103"/>
    </row>
    <row r="87" spans="1:8" ht="23.1" customHeight="1">
      <c r="A87" s="45" t="s">
        <v>541</v>
      </c>
      <c r="B87" s="5">
        <v>3350</v>
      </c>
      <c r="C87" s="104"/>
      <c r="D87" s="104"/>
      <c r="E87" s="104"/>
      <c r="F87" s="104"/>
      <c r="G87" s="307">
        <f t="shared" si="9"/>
        <v>0</v>
      </c>
      <c r="H87" s="103"/>
    </row>
    <row r="88" spans="1:8" ht="23.1" customHeight="1">
      <c r="A88" s="45" t="s">
        <v>542</v>
      </c>
      <c r="B88" s="5">
        <v>3360</v>
      </c>
      <c r="C88" s="104">
        <f>C89+C90+C91</f>
        <v>0</v>
      </c>
      <c r="D88" s="104">
        <f>D89+D90+D91</f>
        <v>0</v>
      </c>
      <c r="E88" s="104">
        <f>E89+E90+E91</f>
        <v>0</v>
      </c>
      <c r="F88" s="104">
        <f>F89+F90+F91</f>
        <v>0</v>
      </c>
      <c r="G88" s="307">
        <f t="shared" si="9"/>
        <v>0</v>
      </c>
      <c r="H88" s="103"/>
    </row>
    <row r="89" spans="1:8" ht="23.1" customHeight="1">
      <c r="A89" s="172" t="s">
        <v>95</v>
      </c>
      <c r="B89" s="5">
        <v>3361</v>
      </c>
      <c r="C89" s="104"/>
      <c r="D89" s="104"/>
      <c r="E89" s="104"/>
      <c r="F89" s="104"/>
      <c r="G89" s="307">
        <f t="shared" si="9"/>
        <v>0</v>
      </c>
      <c r="H89" s="103"/>
    </row>
    <row r="90" spans="1:8" ht="23.1" customHeight="1">
      <c r="A90" s="172" t="s">
        <v>507</v>
      </c>
      <c r="B90" s="5">
        <v>3362</v>
      </c>
      <c r="C90" s="104"/>
      <c r="D90" s="104"/>
      <c r="E90" s="104"/>
      <c r="F90" s="104"/>
      <c r="G90" s="307">
        <f t="shared" si="9"/>
        <v>0</v>
      </c>
      <c r="H90" s="103"/>
    </row>
    <row r="91" spans="1:8" ht="23.1" customHeight="1">
      <c r="A91" s="172" t="s">
        <v>119</v>
      </c>
      <c r="B91" s="5">
        <v>3363</v>
      </c>
      <c r="C91" s="104"/>
      <c r="D91" s="104"/>
      <c r="E91" s="104"/>
      <c r="F91" s="104"/>
      <c r="G91" s="307">
        <f t="shared" si="9"/>
        <v>0</v>
      </c>
      <c r="H91" s="103"/>
    </row>
    <row r="92" spans="1:8" ht="23.1" customHeight="1">
      <c r="A92" s="45" t="s">
        <v>543</v>
      </c>
      <c r="B92" s="5">
        <v>3370</v>
      </c>
      <c r="C92" s="104"/>
      <c r="D92" s="104"/>
      <c r="E92" s="104"/>
      <c r="F92" s="104"/>
      <c r="G92" s="307">
        <f t="shared" si="9"/>
        <v>0</v>
      </c>
      <c r="H92" s="103"/>
    </row>
    <row r="93" spans="1:8" ht="23.1" customHeight="1">
      <c r="A93" s="45" t="s">
        <v>115</v>
      </c>
      <c r="B93" s="5">
        <v>3380</v>
      </c>
      <c r="C93" s="114">
        <f>C94+C95+C96</f>
        <v>-8000</v>
      </c>
      <c r="D93" s="114">
        <f>D94+D95+D96</f>
        <v>-2500</v>
      </c>
      <c r="E93" s="114">
        <f>E94+E95+E96</f>
        <v>-2500</v>
      </c>
      <c r="F93" s="114">
        <f>F94+F95+F96</f>
        <v>-2500</v>
      </c>
      <c r="G93" s="307">
        <f t="shared" si="9"/>
        <v>0</v>
      </c>
      <c r="H93" s="103"/>
    </row>
    <row r="94" spans="1:8" ht="23.1" customHeight="1">
      <c r="A94" s="109" t="s">
        <v>639</v>
      </c>
      <c r="B94" s="5" t="s">
        <v>656</v>
      </c>
      <c r="C94" s="114">
        <f>-4000-4000</f>
        <v>-8000</v>
      </c>
      <c r="D94" s="114">
        <v>-2500</v>
      </c>
      <c r="E94" s="114">
        <v>-2500</v>
      </c>
      <c r="F94" s="114">
        <v>-2500</v>
      </c>
      <c r="G94" s="307">
        <f t="shared" si="9"/>
        <v>0</v>
      </c>
      <c r="H94" s="103"/>
    </row>
    <row r="95" spans="1:8" ht="23.1" customHeight="1">
      <c r="A95" s="45"/>
      <c r="B95" s="5"/>
      <c r="C95" s="104"/>
      <c r="D95" s="104"/>
      <c r="E95" s="104"/>
      <c r="F95" s="104"/>
      <c r="G95" s="307">
        <f t="shared" si="9"/>
        <v>0</v>
      </c>
      <c r="H95" s="103"/>
    </row>
    <row r="96" spans="1:8" ht="23.1" customHeight="1">
      <c r="A96" s="45"/>
      <c r="B96" s="5"/>
      <c r="C96" s="104"/>
      <c r="D96" s="104"/>
      <c r="E96" s="104"/>
      <c r="F96" s="104"/>
      <c r="G96" s="307">
        <f t="shared" si="9"/>
        <v>0</v>
      </c>
      <c r="H96" s="103"/>
    </row>
    <row r="97" spans="1:9" s="14" customFormat="1" ht="23.1" customHeight="1">
      <c r="A97" s="176" t="s">
        <v>544</v>
      </c>
      <c r="B97" s="177">
        <v>3395</v>
      </c>
      <c r="C97" s="182">
        <f>C78+C86</f>
        <v>-8000</v>
      </c>
      <c r="D97" s="182">
        <f>D78+D86</f>
        <v>-2500</v>
      </c>
      <c r="E97" s="182">
        <f>E78+E86</f>
        <v>-2500</v>
      </c>
      <c r="F97" s="182">
        <f>F78+F86</f>
        <v>-2500</v>
      </c>
      <c r="G97" s="307">
        <f t="shared" si="9"/>
        <v>0</v>
      </c>
      <c r="H97" s="103"/>
      <c r="I97" s="300"/>
    </row>
    <row r="98" spans="1:9" s="14" customFormat="1" ht="23.1" customHeight="1">
      <c r="A98" s="9" t="s">
        <v>44</v>
      </c>
      <c r="B98" s="140">
        <v>3400</v>
      </c>
      <c r="C98" s="162">
        <f>C60+C76+C97</f>
        <v>-40131.000000000015</v>
      </c>
      <c r="D98" s="162">
        <f>D60+D76+D97</f>
        <v>-12451</v>
      </c>
      <c r="E98" s="162">
        <f>E60+E76+E97</f>
        <v>-22900.999999999985</v>
      </c>
      <c r="F98" s="162">
        <f>F60+F76+F97</f>
        <v>-12451</v>
      </c>
      <c r="G98" s="306">
        <f t="shared" si="9"/>
        <v>10449.999999999985</v>
      </c>
      <c r="H98" s="263">
        <f>F98/E98*100</f>
        <v>54.368804855683194</v>
      </c>
      <c r="I98" s="300"/>
    </row>
    <row r="99" spans="1:9" s="14" customFormat="1" ht="23.1" customHeight="1">
      <c r="A99" s="9" t="s">
        <v>545</v>
      </c>
      <c r="B99" s="140">
        <v>3405</v>
      </c>
      <c r="C99" s="115">
        <v>69646</v>
      </c>
      <c r="D99" s="115">
        <v>34051</v>
      </c>
      <c r="E99" s="115">
        <v>20215.2</v>
      </c>
      <c r="F99" s="115">
        <v>34051</v>
      </c>
      <c r="G99" s="306">
        <f>F99-E99</f>
        <v>13835.8</v>
      </c>
      <c r="H99" s="263">
        <f>F99/E99*100</f>
        <v>168.4425580751118</v>
      </c>
      <c r="I99" s="300"/>
    </row>
    <row r="100" spans="1:9" s="14" customFormat="1" ht="23.1" customHeight="1">
      <c r="A100" s="80" t="s">
        <v>146</v>
      </c>
      <c r="B100" s="5">
        <v>3410</v>
      </c>
      <c r="C100" s="284">
        <f>4048.5-2789.5-177+1928.8+1525.2</f>
        <v>4536</v>
      </c>
      <c r="D100" s="114">
        <f>(1194.4-1444+22.6-29.5-1127.2)+(1010.9+23.7-719.2-25.2)+(1493.2-563.9+28.9-6.9)+43.2</f>
        <v>-98.999999999999929</v>
      </c>
      <c r="E100" s="104">
        <v>4350</v>
      </c>
      <c r="F100" s="114">
        <v>-99</v>
      </c>
      <c r="G100" s="307">
        <f t="shared" si="9"/>
        <v>-4449</v>
      </c>
      <c r="H100" s="264"/>
      <c r="I100" s="300"/>
    </row>
    <row r="101" spans="1:9" s="14" customFormat="1" ht="23.1" customHeight="1">
      <c r="A101" s="9" t="s">
        <v>546</v>
      </c>
      <c r="B101" s="140">
        <v>3415</v>
      </c>
      <c r="C101" s="115">
        <f>C99+C98+C100</f>
        <v>34050.999999999985</v>
      </c>
      <c r="D101" s="115">
        <f>D99+D98+D100</f>
        <v>21501</v>
      </c>
      <c r="E101" s="115">
        <f>E99+E98+E100</f>
        <v>1664.2000000000153</v>
      </c>
      <c r="F101" s="115">
        <f>F99+F98+F100</f>
        <v>21501</v>
      </c>
      <c r="G101" s="306">
        <f>F101-E101</f>
        <v>19836.799999999985</v>
      </c>
      <c r="H101" s="263">
        <f>F101/E101*100</f>
        <v>1291.972118735717</v>
      </c>
      <c r="I101" s="300"/>
    </row>
    <row r="102" spans="1:9" s="14" customFormat="1">
      <c r="A102" s="1"/>
      <c r="B102" s="31"/>
      <c r="C102" s="31"/>
      <c r="D102" s="31"/>
      <c r="E102" s="31"/>
      <c r="F102" s="31"/>
      <c r="G102" s="31"/>
      <c r="H102" s="310"/>
      <c r="I102" s="300"/>
    </row>
    <row r="103" spans="1:9" s="2" customFormat="1" ht="27.75" customHeight="1">
      <c r="A103" s="43" t="s">
        <v>640</v>
      </c>
      <c r="B103" s="31"/>
      <c r="C103" s="332" t="s">
        <v>105</v>
      </c>
      <c r="D103" s="332"/>
      <c r="E103" s="147"/>
      <c r="F103" s="314" t="s">
        <v>735</v>
      </c>
      <c r="G103" s="314"/>
      <c r="H103" s="314"/>
    </row>
    <row r="104" spans="1:9">
      <c r="A104" s="72" t="s">
        <v>220</v>
      </c>
      <c r="B104" s="2"/>
      <c r="C104" s="329" t="s">
        <v>84</v>
      </c>
      <c r="D104" s="329"/>
      <c r="E104" s="2"/>
      <c r="F104" s="331" t="s">
        <v>269</v>
      </c>
      <c r="G104" s="331"/>
      <c r="H104" s="331"/>
    </row>
  </sheetData>
  <mergeCells count="12">
    <mergeCell ref="F104:H104"/>
    <mergeCell ref="A8:H8"/>
    <mergeCell ref="C103:D103"/>
    <mergeCell ref="F103:H103"/>
    <mergeCell ref="C104:D104"/>
    <mergeCell ref="A61:H61"/>
    <mergeCell ref="A77:H77"/>
    <mergeCell ref="A3:H3"/>
    <mergeCell ref="A5:A6"/>
    <mergeCell ref="B5:B6"/>
    <mergeCell ref="C5:D5"/>
    <mergeCell ref="E5:H5"/>
  </mergeCells>
  <phoneticPr fontId="3" type="noConversion"/>
  <pageMargins left="0.78740157480314965" right="0.39370078740157483" top="0.47244094488188981" bottom="0.19685039370078741" header="0.19685039370078741" footer="0.11811023622047245"/>
  <pageSetup paperSize="9" scale="60" orientation="landscape" r:id="rId1"/>
  <headerFooter alignWithMargins="0">
    <oddHeader xml:space="preserve">&amp;C
&amp;"Times New Roman,обычный"&amp;14 8&amp;R&amp;"Times New Roman,обычный"&amp;14
Продовження додатка 3
</oddHeader>
  </headerFooter>
  <rowBreaks count="2" manualBreakCount="2">
    <brk id="37" max="7" man="1"/>
    <brk id="7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O185"/>
  <sheetViews>
    <sheetView topLeftCell="A3" zoomScale="75" zoomScaleNormal="100" zoomScaleSheetLayoutView="55" workbookViewId="0">
      <selection activeCell="C10" sqref="C10:F15"/>
    </sheetView>
  </sheetViews>
  <sheetFormatPr defaultRowHeight="18.75" outlineLevelRow="1"/>
  <cols>
    <col min="1" max="1" width="82.28515625" style="2" customWidth="1"/>
    <col min="2" max="2" width="9.85546875" style="23" customWidth="1"/>
    <col min="3" max="7" width="25.7109375" style="23" customWidth="1"/>
    <col min="8" max="8" width="21.140625" style="23" customWidth="1"/>
    <col min="9" max="9" width="9.5703125" style="2" customWidth="1"/>
    <col min="10" max="10" width="9.85546875" style="2" customWidth="1"/>
    <col min="11" max="16384" width="9.140625" style="2"/>
  </cols>
  <sheetData>
    <row r="1" spans="1:15" hidden="1" outlineLevel="1">
      <c r="H1" s="27" t="s">
        <v>202</v>
      </c>
    </row>
    <row r="2" spans="1:15" hidden="1" outlineLevel="1">
      <c r="H2" s="27" t="s">
        <v>184</v>
      </c>
    </row>
    <row r="3" spans="1:15" collapsed="1">
      <c r="A3" s="314" t="s">
        <v>173</v>
      </c>
      <c r="B3" s="314"/>
      <c r="C3" s="314"/>
      <c r="D3" s="314"/>
      <c r="E3" s="314"/>
      <c r="F3" s="314"/>
      <c r="G3" s="314"/>
      <c r="H3" s="314"/>
    </row>
    <row r="4" spans="1:15">
      <c r="A4" s="11"/>
      <c r="B4" s="11"/>
      <c r="C4" s="11"/>
      <c r="D4" s="11"/>
      <c r="E4" s="11"/>
      <c r="F4" s="11"/>
      <c r="G4" s="11"/>
      <c r="H4" s="11"/>
    </row>
    <row r="5" spans="1:15">
      <c r="A5" s="24"/>
      <c r="B5" s="24"/>
      <c r="C5" s="24"/>
      <c r="D5" s="24"/>
      <c r="E5" s="24"/>
      <c r="F5" s="24"/>
      <c r="G5" s="24"/>
      <c r="H5" s="151" t="s">
        <v>184</v>
      </c>
    </row>
    <row r="6" spans="1:15" ht="43.5" customHeight="1">
      <c r="A6" s="355" t="s">
        <v>242</v>
      </c>
      <c r="B6" s="348" t="s">
        <v>31</v>
      </c>
      <c r="C6" s="348" t="s">
        <v>194</v>
      </c>
      <c r="D6" s="348"/>
      <c r="E6" s="357" t="s">
        <v>196</v>
      </c>
      <c r="F6" s="357"/>
      <c r="G6" s="357"/>
      <c r="H6" s="357"/>
    </row>
    <row r="7" spans="1:15" ht="56.25" customHeight="1">
      <c r="A7" s="356"/>
      <c r="B7" s="348"/>
      <c r="C7" s="194" t="s">
        <v>226</v>
      </c>
      <c r="D7" s="194" t="s">
        <v>227</v>
      </c>
      <c r="E7" s="194" t="s">
        <v>228</v>
      </c>
      <c r="F7" s="194" t="s">
        <v>209</v>
      </c>
      <c r="G7" s="217" t="s">
        <v>237</v>
      </c>
      <c r="H7" s="217" t="s">
        <v>238</v>
      </c>
    </row>
    <row r="8" spans="1:15" ht="15.75" customHeight="1">
      <c r="A8" s="198">
        <v>1</v>
      </c>
      <c r="B8" s="194">
        <v>2</v>
      </c>
      <c r="C8" s="198">
        <v>3</v>
      </c>
      <c r="D8" s="194">
        <v>4</v>
      </c>
      <c r="E8" s="198">
        <v>5</v>
      </c>
      <c r="F8" s="194">
        <v>6</v>
      </c>
      <c r="G8" s="198">
        <v>7</v>
      </c>
      <c r="H8" s="194">
        <v>8</v>
      </c>
    </row>
    <row r="9" spans="1:15" s="4" customFormat="1" ht="42.75" customHeight="1">
      <c r="A9" s="212" t="s">
        <v>87</v>
      </c>
      <c r="B9" s="218">
        <v>4000</v>
      </c>
      <c r="C9" s="219">
        <f>SUM(C10:C15)</f>
        <v>18722.3</v>
      </c>
      <c r="D9" s="219">
        <f>SUM(D10:D15)</f>
        <v>7377.4</v>
      </c>
      <c r="E9" s="219">
        <f>SUM(E10:E15)</f>
        <v>34258.6</v>
      </c>
      <c r="F9" s="219">
        <f>SUM(F10:F15)</f>
        <v>7377.4</v>
      </c>
      <c r="G9" s="219">
        <f t="shared" ref="G9:G14" si="0">F9-E9</f>
        <v>-26881.199999999997</v>
      </c>
      <c r="H9" s="220">
        <f t="shared" ref="H9:H14" si="1">F9/E9</f>
        <v>0.21534446825030795</v>
      </c>
    </row>
    <row r="10" spans="1:15" ht="20.100000000000001" customHeight="1">
      <c r="A10" s="212" t="s">
        <v>14</v>
      </c>
      <c r="B10" s="221" t="s">
        <v>180</v>
      </c>
      <c r="C10" s="284">
        <f>68.1+484.9+184.7</f>
        <v>737.7</v>
      </c>
      <c r="D10" s="104">
        <v>0</v>
      </c>
      <c r="E10" s="104">
        <f>'6.2. Інша інфо_2'!AC31</f>
        <v>0</v>
      </c>
      <c r="F10" s="104">
        <f>'6.2. Інша інфо_2'!AD31</f>
        <v>0</v>
      </c>
      <c r="G10" s="105">
        <f t="shared" si="0"/>
        <v>0</v>
      </c>
      <c r="H10" s="103"/>
    </row>
    <row r="11" spans="1:15" ht="20.100000000000001" customHeight="1">
      <c r="A11" s="212" t="s">
        <v>15</v>
      </c>
      <c r="B11" s="218">
        <v>4020</v>
      </c>
      <c r="C11" s="284">
        <f>1170.8+2171.2+432+648.5</f>
        <v>4422.5</v>
      </c>
      <c r="D11" s="104">
        <f>13.4+90.2+2407.1</f>
        <v>2510.6999999999998</v>
      </c>
      <c r="E11" s="104">
        <f>'6.2. Інша інфо_2'!AC33</f>
        <v>5140.2</v>
      </c>
      <c r="F11" s="104">
        <f>'6.2. Інша інфо_2'!AD33</f>
        <v>2510.6999999999998</v>
      </c>
      <c r="G11" s="105">
        <f t="shared" si="0"/>
        <v>-2629.5</v>
      </c>
      <c r="H11" s="103">
        <f t="shared" si="1"/>
        <v>0.48844402941519782</v>
      </c>
      <c r="O11" s="20"/>
    </row>
    <row r="12" spans="1:15" ht="19.5" customHeight="1">
      <c r="A12" s="212" t="s">
        <v>43</v>
      </c>
      <c r="B12" s="221">
        <v>4030</v>
      </c>
      <c r="C12" s="284">
        <f>233.6+390.1+192.8+276.5</f>
        <v>1093</v>
      </c>
      <c r="D12" s="104">
        <f>10.7+249.8+56+301.3</f>
        <v>617.79999999999995</v>
      </c>
      <c r="E12" s="104">
        <f>'6.2. Інша інфо_2'!AC55</f>
        <v>166.7</v>
      </c>
      <c r="F12" s="104">
        <f>'6.2. Інша інфо_2'!AD55</f>
        <v>617.80000000000007</v>
      </c>
      <c r="G12" s="105">
        <f t="shared" si="0"/>
        <v>451.10000000000008</v>
      </c>
      <c r="H12" s="103">
        <f t="shared" si="1"/>
        <v>3.7060587882423524</v>
      </c>
      <c r="N12" s="20"/>
    </row>
    <row r="13" spans="1:15" ht="20.100000000000001" customHeight="1">
      <c r="A13" s="212" t="s">
        <v>16</v>
      </c>
      <c r="B13" s="218">
        <v>4040</v>
      </c>
      <c r="C13" s="284">
        <v>0</v>
      </c>
      <c r="D13" s="104">
        <f>0+13.9+137.3</f>
        <v>151.20000000000002</v>
      </c>
      <c r="E13" s="104">
        <f>'6.2. Інша інфо_2'!AC61</f>
        <v>0</v>
      </c>
      <c r="F13" s="104">
        <f>'6.2. Інша інфо_2'!AD61</f>
        <v>151.20000000000002</v>
      </c>
      <c r="G13" s="105">
        <f t="shared" si="0"/>
        <v>151.20000000000002</v>
      </c>
      <c r="H13" s="103"/>
    </row>
    <row r="14" spans="1:15" ht="42.75" customHeight="1">
      <c r="A14" s="229" t="s">
        <v>76</v>
      </c>
      <c r="B14" s="230">
        <v>4050</v>
      </c>
      <c r="C14" s="284">
        <f>3020.1+3724.1+1518.9+3728.5</f>
        <v>11991.6</v>
      </c>
      <c r="D14" s="251">
        <f>0+458.6+2213.6+1355</f>
        <v>4027.2</v>
      </c>
      <c r="E14" s="251">
        <f>'6.2. Інша інфо_2'!AC63</f>
        <v>21101.7</v>
      </c>
      <c r="F14" s="251">
        <f>'6.2. Інша інфо_2'!AD63</f>
        <v>4027.2000000000003</v>
      </c>
      <c r="G14" s="265">
        <f t="shared" si="0"/>
        <v>-17074.5</v>
      </c>
      <c r="H14" s="257">
        <f t="shared" si="1"/>
        <v>0.19084718292838967</v>
      </c>
    </row>
    <row r="15" spans="1:15" ht="20.25">
      <c r="A15" s="201" t="s">
        <v>547</v>
      </c>
      <c r="B15" s="221">
        <v>4060</v>
      </c>
      <c r="C15" s="284">
        <f>0+222.9+254.6</f>
        <v>477.5</v>
      </c>
      <c r="D15" s="104">
        <f>27.9+3.7+38.9</f>
        <v>70.5</v>
      </c>
      <c r="E15" s="130">
        <f>'6.2. Інша інфо_2'!AC83</f>
        <v>7850</v>
      </c>
      <c r="F15" s="130">
        <f>'6.2. Інша інфо_2'!AD83</f>
        <v>70.5</v>
      </c>
      <c r="G15" s="105">
        <f>F15-E15</f>
        <v>-7779.5</v>
      </c>
      <c r="H15" s="103">
        <f>F15/E15</f>
        <v>8.980891719745223E-3</v>
      </c>
    </row>
    <row r="16" spans="1:15" ht="20.25">
      <c r="A16" s="242"/>
      <c r="B16" s="222"/>
      <c r="C16" s="222"/>
      <c r="D16" s="222"/>
      <c r="E16" s="222"/>
      <c r="F16" s="222"/>
      <c r="G16" s="222"/>
      <c r="H16" s="243"/>
    </row>
    <row r="17" spans="1:9" s="1" customFormat="1" ht="19.5" customHeight="1">
      <c r="A17" s="244"/>
      <c r="B17" s="222"/>
      <c r="C17" s="222"/>
      <c r="D17" s="222"/>
      <c r="E17" s="222"/>
      <c r="F17" s="222"/>
      <c r="G17" s="222"/>
      <c r="H17" s="243"/>
      <c r="I17" s="2"/>
    </row>
    <row r="18" spans="1:9" ht="27.75" customHeight="1">
      <c r="A18" s="245" t="s">
        <v>640</v>
      </c>
      <c r="B18" s="246"/>
      <c r="C18" s="358" t="s">
        <v>105</v>
      </c>
      <c r="D18" s="358"/>
      <c r="E18" s="247"/>
      <c r="F18" s="359" t="s">
        <v>735</v>
      </c>
      <c r="G18" s="359"/>
      <c r="H18" s="360"/>
    </row>
    <row r="19" spans="1:9" s="1" customFormat="1">
      <c r="A19" s="23" t="s">
        <v>83</v>
      </c>
      <c r="B19" s="2"/>
      <c r="C19" s="329" t="s">
        <v>84</v>
      </c>
      <c r="D19" s="329"/>
      <c r="E19" s="2"/>
      <c r="F19" s="331" t="s">
        <v>269</v>
      </c>
      <c r="G19" s="331"/>
      <c r="H19" s="331"/>
    </row>
    <row r="20" spans="1:9">
      <c r="A20" s="49"/>
    </row>
    <row r="21" spans="1:9">
      <c r="A21" s="49"/>
    </row>
    <row r="22" spans="1:9">
      <c r="A22" s="49"/>
    </row>
    <row r="23" spans="1:9">
      <c r="A23" s="49"/>
    </row>
    <row r="24" spans="1:9">
      <c r="A24" s="49"/>
    </row>
    <row r="25" spans="1:9">
      <c r="A25" s="49"/>
    </row>
    <row r="26" spans="1:9">
      <c r="A26" s="49"/>
    </row>
    <row r="27" spans="1:9">
      <c r="A27" s="49"/>
    </row>
    <row r="28" spans="1:9">
      <c r="A28" s="49"/>
    </row>
    <row r="29" spans="1:9">
      <c r="A29" s="49"/>
    </row>
    <row r="30" spans="1:9">
      <c r="A30" s="49"/>
    </row>
    <row r="31" spans="1:9">
      <c r="A31" s="49"/>
    </row>
    <row r="32" spans="1:9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  <row r="183" spans="1:1">
      <c r="A183" s="49"/>
    </row>
    <row r="184" spans="1:1">
      <c r="A184" s="49"/>
    </row>
    <row r="185" spans="1:1">
      <c r="A185" s="49"/>
    </row>
  </sheetData>
  <mergeCells count="9">
    <mergeCell ref="A6:A7"/>
    <mergeCell ref="A3:H3"/>
    <mergeCell ref="B6:B7"/>
    <mergeCell ref="C19:D19"/>
    <mergeCell ref="F19:H19"/>
    <mergeCell ref="C6:D6"/>
    <mergeCell ref="E6:H6"/>
    <mergeCell ref="C18:D18"/>
    <mergeCell ref="F18:H18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4" firstPageNumber="9" orientation="landscape" useFirstPageNumber="1" r:id="rId1"/>
  <headerFooter alignWithMargins="0">
    <oddHeader xml:space="preserve">&amp;R&amp;"Times New Roman,обычный"&amp;14Продовження додатка 3
Таблиця 4  
</oddHeader>
  </headerFooter>
  <ignoredErrors>
    <ignoredError sqref="B10" numberStoredAsText="1"/>
    <ignoredError sqref="H9 H11:H12 H1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30"/>
  <sheetViews>
    <sheetView view="pageBreakPreview" zoomScale="75" zoomScaleNormal="75" zoomScaleSheetLayoutView="75" workbookViewId="0">
      <pane xSplit="1" ySplit="7" topLeftCell="B17" activePane="bottomRight" state="frozen"/>
      <selection activeCell="F65" sqref="F65"/>
      <selection pane="topRight" activeCell="F65" sqref="F65"/>
      <selection pane="bottomLeft" activeCell="F65" sqref="F65"/>
      <selection pane="bottomRight" activeCell="F65" sqref="F65"/>
    </sheetView>
  </sheetViews>
  <sheetFormatPr defaultRowHeight="12.75" outlineLevelRow="1"/>
  <cols>
    <col min="1" max="1" width="87.28515625" style="30" customWidth="1"/>
    <col min="2" max="2" width="19.42578125" style="30" customWidth="1"/>
    <col min="3" max="3" width="26" style="30" customWidth="1"/>
    <col min="4" max="4" width="22.5703125" style="30" customWidth="1"/>
    <col min="5" max="6" width="23" style="30" customWidth="1"/>
    <col min="7" max="7" width="23.140625" style="30" customWidth="1"/>
    <col min="8" max="8" width="74.140625" style="30" customWidth="1"/>
    <col min="9" max="9" width="9.5703125" style="30" customWidth="1"/>
    <col min="10" max="10" width="9.140625" style="30"/>
    <col min="11" max="11" width="27.140625" style="30" customWidth="1"/>
    <col min="12" max="16384" width="9.140625" style="30"/>
  </cols>
  <sheetData>
    <row r="1" spans="1:8" ht="18.75" hidden="1" outlineLevel="1">
      <c r="H1" s="27" t="s">
        <v>202</v>
      </c>
    </row>
    <row r="2" spans="1:8" ht="18.75" hidden="1" outlineLevel="1">
      <c r="H2" s="27" t="s">
        <v>185</v>
      </c>
    </row>
    <row r="3" spans="1:8" ht="19.5" customHeight="1" collapsed="1">
      <c r="A3" s="361" t="s">
        <v>175</v>
      </c>
      <c r="B3" s="361"/>
      <c r="C3" s="361"/>
      <c r="D3" s="361"/>
      <c r="E3" s="361"/>
      <c r="F3" s="361"/>
      <c r="G3" s="361"/>
      <c r="H3" s="361"/>
    </row>
    <row r="4" spans="1:8" ht="16.5" customHeight="1">
      <c r="G4" s="150" t="s">
        <v>185</v>
      </c>
    </row>
    <row r="5" spans="1:8" ht="49.5" customHeight="1">
      <c r="A5" s="362" t="s">
        <v>242</v>
      </c>
      <c r="B5" s="362" t="s">
        <v>13</v>
      </c>
      <c r="C5" s="362" t="s">
        <v>99</v>
      </c>
      <c r="D5" s="327" t="s">
        <v>194</v>
      </c>
      <c r="E5" s="327"/>
      <c r="F5" s="327" t="s">
        <v>197</v>
      </c>
      <c r="G5" s="327"/>
      <c r="H5" s="362" t="s">
        <v>263</v>
      </c>
    </row>
    <row r="6" spans="1:8" ht="63" customHeight="1">
      <c r="A6" s="363"/>
      <c r="B6" s="363"/>
      <c r="C6" s="363"/>
      <c r="D6" s="194" t="s">
        <v>226</v>
      </c>
      <c r="E6" s="194" t="s">
        <v>227</v>
      </c>
      <c r="F6" s="194" t="s">
        <v>226</v>
      </c>
      <c r="G6" s="194" t="s">
        <v>227</v>
      </c>
      <c r="H6" s="363"/>
    </row>
    <row r="7" spans="1:8" s="61" customFormat="1" ht="29.25" customHeight="1">
      <c r="A7" s="210">
        <v>1</v>
      </c>
      <c r="B7" s="210">
        <v>2</v>
      </c>
      <c r="C7" s="210">
        <v>3</v>
      </c>
      <c r="D7" s="210">
        <v>4</v>
      </c>
      <c r="E7" s="210">
        <v>5</v>
      </c>
      <c r="F7" s="210">
        <v>6</v>
      </c>
      <c r="G7" s="210">
        <v>7</v>
      </c>
      <c r="H7" s="210">
        <v>8</v>
      </c>
    </row>
    <row r="8" spans="1:8" s="61" customFormat="1" ht="24.95" customHeight="1">
      <c r="A8" s="211" t="s">
        <v>154</v>
      </c>
      <c r="B8" s="211"/>
      <c r="C8" s="210"/>
      <c r="D8" s="210"/>
      <c r="E8" s="210"/>
      <c r="F8" s="210"/>
      <c r="G8" s="210"/>
      <c r="H8" s="210"/>
    </row>
    <row r="9" spans="1:8" ht="60.75">
      <c r="A9" s="212" t="s">
        <v>548</v>
      </c>
      <c r="B9" s="194">
        <v>5000</v>
      </c>
      <c r="C9" s="213" t="s">
        <v>280</v>
      </c>
      <c r="D9" s="214">
        <f>'I. Фін результат'!C54/'I. Фін результат'!C8*100</f>
        <v>21.516438834932337</v>
      </c>
      <c r="E9" s="214">
        <f>'I. Фін результат'!D54/'I. Фін результат'!D8*100</f>
        <v>14.093727249242621</v>
      </c>
      <c r="F9" s="214">
        <v>21.5</v>
      </c>
      <c r="G9" s="214">
        <f>'I. Фін результат'!F54/'I. Фін результат'!F8*100</f>
        <v>14.093727249242621</v>
      </c>
      <c r="H9" s="215"/>
    </row>
    <row r="10" spans="1:8" ht="60.75">
      <c r="A10" s="212" t="s">
        <v>549</v>
      </c>
      <c r="B10" s="194">
        <v>5010</v>
      </c>
      <c r="C10" s="213" t="s">
        <v>280</v>
      </c>
      <c r="D10" s="214">
        <f>'I. Фін результат'!C161/'I. Фін результат'!C8*100</f>
        <v>13.896734876714891</v>
      </c>
      <c r="E10" s="214">
        <f>'I. Фін результат'!D161/'I. Фін результат'!D8*100</f>
        <v>4.1204410417791975</v>
      </c>
      <c r="F10" s="214">
        <v>13.9</v>
      </c>
      <c r="G10" s="214">
        <f>'I. Фін результат'!F161/'I. Фін результат'!F8*100</f>
        <v>4.1204410417791975</v>
      </c>
      <c r="H10" s="215"/>
    </row>
    <row r="11" spans="1:8" ht="60.75">
      <c r="A11" s="216" t="s">
        <v>0</v>
      </c>
      <c r="B11" s="194">
        <v>5020</v>
      </c>
      <c r="C11" s="213" t="s">
        <v>280</v>
      </c>
      <c r="D11" s="214">
        <f>'I. Фін результат'!C148/'Осн. фін. пок.'!C139*100</f>
        <v>5.9462906281883114</v>
      </c>
      <c r="E11" s="214">
        <f>'I. Фін результат'!D148/'Осн. фін. пок.'!D139*100</f>
        <v>-2.4624754602649519</v>
      </c>
      <c r="F11" s="214">
        <v>6</v>
      </c>
      <c r="G11" s="214">
        <f>'I. Фін результат'!F148/'Осн. фін. пок.'!F139*100</f>
        <v>-2.4624754602649519</v>
      </c>
      <c r="H11" s="215" t="s">
        <v>281</v>
      </c>
    </row>
    <row r="12" spans="1:8" ht="60.75">
      <c r="A12" s="216" t="s">
        <v>1</v>
      </c>
      <c r="B12" s="194">
        <v>5030</v>
      </c>
      <c r="C12" s="213" t="s">
        <v>280</v>
      </c>
      <c r="D12" s="214">
        <f>'I. Фін результат'!C148/'Осн. фін. пок.'!C145*100</f>
        <v>6.4725830441249386</v>
      </c>
      <c r="E12" s="214">
        <f>'I. Фін результат'!D148/'Осн. фін. пок.'!D145*100</f>
        <v>-2.6598986466742915</v>
      </c>
      <c r="F12" s="214">
        <v>6.4</v>
      </c>
      <c r="G12" s="214">
        <f>'I. Фін результат'!F148/'Осн. фін. пок.'!F145*100</f>
        <v>-2.6598986466742915</v>
      </c>
      <c r="H12" s="215"/>
    </row>
    <row r="13" spans="1:8" ht="63.95" customHeight="1">
      <c r="A13" s="216" t="s">
        <v>654</v>
      </c>
      <c r="B13" s="194">
        <v>5040</v>
      </c>
      <c r="C13" s="213" t="s">
        <v>100</v>
      </c>
      <c r="D13" s="214">
        <f>'I. Фін результат'!C148/'I. Фін результат'!C8*100</f>
        <v>8.0330991843344961</v>
      </c>
      <c r="E13" s="214">
        <f>'I. Фін результат'!D148/'I. Фін результат'!D8*100</f>
        <v>-3.7411051877597989</v>
      </c>
      <c r="F13" s="214">
        <v>8</v>
      </c>
      <c r="G13" s="214">
        <f>'I. Фін результат'!F148/'I. Фін результат'!F8*100</f>
        <v>-3.7411051877597989</v>
      </c>
      <c r="H13" s="215" t="s">
        <v>282</v>
      </c>
    </row>
    <row r="14" spans="1:8" ht="24.95" customHeight="1">
      <c r="A14" s="225" t="s">
        <v>156</v>
      </c>
      <c r="B14" s="217"/>
      <c r="C14" s="226"/>
      <c r="D14" s="227"/>
      <c r="E14" s="227"/>
      <c r="F14" s="227"/>
      <c r="G14" s="227"/>
      <c r="H14" s="228"/>
    </row>
    <row r="15" spans="1:8" ht="63.95" customHeight="1">
      <c r="A15" s="215" t="s">
        <v>2</v>
      </c>
      <c r="B15" s="194">
        <v>5100</v>
      </c>
      <c r="C15" s="213"/>
      <c r="D15" s="214">
        <f>('Осн. фін. пок.'!C140+'Осн. фін. пок.'!C141)/'I. Фін результат'!C161</f>
        <v>0.79044872975615288</v>
      </c>
      <c r="E15" s="214">
        <f>('Осн. фін. пок.'!D140+'Осн. фін. пок.'!D141)/'I. Фін результат'!D161</f>
        <v>2.7366381214288769</v>
      </c>
      <c r="F15" s="214">
        <v>0.7</v>
      </c>
      <c r="G15" s="214">
        <f>('Осн. фін. пок.'!F140+'Осн. фін. пок.'!F141)/'I. Фін результат'!F161</f>
        <v>2.7366381214288769</v>
      </c>
      <c r="H15" s="215"/>
    </row>
    <row r="16" spans="1:8" s="61" customFormat="1" ht="63.95" customHeight="1">
      <c r="A16" s="215" t="s">
        <v>3</v>
      </c>
      <c r="B16" s="194">
        <v>5110</v>
      </c>
      <c r="C16" s="213" t="s">
        <v>151</v>
      </c>
      <c r="D16" s="214">
        <f>'Осн. фін. пок.'!C145/('Осн. фін. пок.'!C140+'Осн. фін. пок.'!C141)</f>
        <v>11.298453954738966</v>
      </c>
      <c r="E16" s="214">
        <f>'Осн. фін. пок.'!D145/('Осн. фін. пок.'!D140+'Осн. фін. пок.'!D141)</f>
        <v>12.473081328751432</v>
      </c>
      <c r="F16" s="214">
        <v>12.4</v>
      </c>
      <c r="G16" s="214">
        <f>'Осн. фін. пок.'!F145/('Осн. фін. пок.'!F140+'Осн. фін. пок.'!F141)</f>
        <v>12.473081328751432</v>
      </c>
      <c r="H16" s="215" t="s">
        <v>283</v>
      </c>
    </row>
    <row r="17" spans="1:11" s="61" customFormat="1" ht="78.75" customHeight="1">
      <c r="A17" s="215" t="s">
        <v>4</v>
      </c>
      <c r="B17" s="194">
        <v>5120</v>
      </c>
      <c r="C17" s="213" t="s">
        <v>151</v>
      </c>
      <c r="D17" s="214">
        <f>'Осн. фін. пок.'!C137/'Осн. фін. пок.'!C141</f>
        <v>3.9724205592194908</v>
      </c>
      <c r="E17" s="214">
        <f>'Осн. фін. пок.'!D137/'Осн. фін. пок.'!D141</f>
        <v>3.9324228564066224</v>
      </c>
      <c r="F17" s="214">
        <v>3.8</v>
      </c>
      <c r="G17" s="214">
        <f>'Осн. фін. пок.'!F137/'Осн. фін. пок.'!F141</f>
        <v>3.9324228564066224</v>
      </c>
      <c r="H17" s="215" t="s">
        <v>285</v>
      </c>
    </row>
    <row r="18" spans="1:11" ht="24.95" customHeight="1">
      <c r="A18" s="211" t="s">
        <v>155</v>
      </c>
      <c r="B18" s="194"/>
      <c r="C18" s="213"/>
      <c r="D18" s="214"/>
      <c r="E18" s="214"/>
      <c r="F18" s="214"/>
      <c r="G18" s="214"/>
      <c r="H18" s="215"/>
    </row>
    <row r="19" spans="1:11" ht="42.75" customHeight="1">
      <c r="A19" s="232" t="s">
        <v>5</v>
      </c>
      <c r="B19" s="102">
        <v>5200</v>
      </c>
      <c r="C19" s="192"/>
      <c r="D19" s="233">
        <f>'Осн. фін. пок.'!C114/'I. Фін результат'!C168</f>
        <v>1.5140142325731845</v>
      </c>
      <c r="E19" s="233">
        <f>'Осн. фін. пок.'!D114/'I. Фін результат'!D168</f>
        <v>0.52941514172945814</v>
      </c>
      <c r="F19" s="233">
        <v>1.5</v>
      </c>
      <c r="G19" s="233">
        <f>'Осн. фін. пок.'!F114/'I. Фін результат'!F168</f>
        <v>0.52941514172945814</v>
      </c>
      <c r="H19" s="232"/>
    </row>
    <row r="20" spans="1:11" ht="75">
      <c r="A20" s="86" t="s">
        <v>6</v>
      </c>
      <c r="B20" s="6">
        <v>5210</v>
      </c>
      <c r="C20" s="95"/>
      <c r="D20" s="179">
        <f>'Осн. фін. пок.'!C114/'Осн. фін. пок.'!C31</f>
        <v>9.2161341294727459E-2</v>
      </c>
      <c r="E20" s="179">
        <f>'Осн. фін. пок.'!D114/'Осн. фін. пок.'!D31</f>
        <v>4.3313919353702351E-2</v>
      </c>
      <c r="F20" s="179">
        <v>0.1</v>
      </c>
      <c r="G20" s="179">
        <f>'Осн. фін. пок.'!F114/'Осн. фін. пок.'!F31</f>
        <v>4.3313919353702351E-2</v>
      </c>
      <c r="H20" s="86"/>
    </row>
    <row r="21" spans="1:11" ht="63.95" customHeight="1">
      <c r="A21" s="86" t="s">
        <v>7</v>
      </c>
      <c r="B21" s="6">
        <v>5220</v>
      </c>
      <c r="C21" s="95" t="s">
        <v>8</v>
      </c>
      <c r="D21" s="179">
        <f>'Осн. фін. пок.'!C136/'Осн. фін. пок.'!C135</f>
        <v>0.90368498016105492</v>
      </c>
      <c r="E21" s="179">
        <f>'Осн. фін. пок.'!D136/'Осн. фін. пок.'!D135</f>
        <v>0.906593717292559</v>
      </c>
      <c r="F21" s="179">
        <v>0.9</v>
      </c>
      <c r="G21" s="179">
        <f>'Осн. фін. пок.'!F136/'Осн. фін. пок.'!F135</f>
        <v>0.906593717292559</v>
      </c>
      <c r="H21" s="86" t="s">
        <v>284</v>
      </c>
    </row>
    <row r="22" spans="1:11" ht="24.95" customHeight="1">
      <c r="A22" s="60" t="s">
        <v>273</v>
      </c>
      <c r="B22" s="6"/>
      <c r="C22" s="95"/>
      <c r="D22" s="85"/>
      <c r="E22" s="85"/>
      <c r="F22" s="85"/>
      <c r="G22" s="85"/>
      <c r="H22" s="86"/>
    </row>
    <row r="23" spans="1:11" ht="84" customHeight="1">
      <c r="A23" s="29" t="s">
        <v>287</v>
      </c>
      <c r="B23" s="6">
        <v>5300</v>
      </c>
      <c r="C23" s="95"/>
      <c r="D23" s="85"/>
      <c r="E23" s="85"/>
      <c r="F23" s="85"/>
      <c r="G23" s="85"/>
      <c r="H23" s="88"/>
    </row>
    <row r="28" spans="1:11" ht="20.25">
      <c r="K28" s="87"/>
    </row>
    <row r="29" spans="1:11" s="2" customFormat="1" ht="27.75" customHeight="1">
      <c r="A29" s="43" t="s">
        <v>640</v>
      </c>
      <c r="B29" s="31"/>
      <c r="C29" s="332" t="s">
        <v>105</v>
      </c>
      <c r="D29" s="332"/>
      <c r="E29" s="147"/>
      <c r="F29" s="314" t="s">
        <v>735</v>
      </c>
      <c r="G29" s="314"/>
      <c r="H29" s="314"/>
    </row>
    <row r="30" spans="1:11" s="1" customFormat="1" ht="18.75">
      <c r="A30" s="72" t="s">
        <v>268</v>
      </c>
      <c r="B30" s="2"/>
      <c r="C30" s="329" t="s">
        <v>84</v>
      </c>
      <c r="D30" s="329"/>
      <c r="E30" s="2"/>
      <c r="F30" s="331" t="s">
        <v>101</v>
      </c>
      <c r="G30" s="331"/>
      <c r="H30" s="331"/>
    </row>
  </sheetData>
  <mergeCells count="11">
    <mergeCell ref="C29:D29"/>
    <mergeCell ref="F29:H29"/>
    <mergeCell ref="C30:D30"/>
    <mergeCell ref="F30:H30"/>
    <mergeCell ref="A3:H3"/>
    <mergeCell ref="A5:A6"/>
    <mergeCell ref="B5:B6"/>
    <mergeCell ref="C5:C6"/>
    <mergeCell ref="D5:E5"/>
    <mergeCell ref="F5:G5"/>
    <mergeCell ref="H5:H6"/>
  </mergeCells>
  <phoneticPr fontId="3" type="noConversion"/>
  <pageMargins left="0.78740157480314965" right="0.39370078740157483" top="0.59055118110236227" bottom="0.39370078740157483" header="0.11811023622047245" footer="0.31496062992125984"/>
  <pageSetup paperSize="9" scale="44" orientation="landscape" r:id="rId1"/>
  <headerFooter alignWithMargins="0">
    <oddHeader>&amp;C&amp;"Times New Roman,обычный"&amp;14
&amp;18 10&amp;R
&amp;"Times New Roman,обычный"&amp;14Продовження додатка 3
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O98"/>
  <sheetViews>
    <sheetView view="pageBreakPreview" topLeftCell="A3" zoomScale="75" zoomScaleNormal="70" zoomScaleSheetLayoutView="75" workbookViewId="0">
      <selection activeCell="F65" sqref="F65:G65"/>
    </sheetView>
  </sheetViews>
  <sheetFormatPr defaultRowHeight="18.75" outlineLevelRow="1"/>
  <cols>
    <col min="1" max="1" width="44.85546875" style="1" customWidth="1"/>
    <col min="2" max="2" width="13.5703125" style="19" customWidth="1"/>
    <col min="3" max="3" width="18.5703125" style="1" customWidth="1"/>
    <col min="4" max="4" width="16.140625" style="1" customWidth="1"/>
    <col min="5" max="5" width="15.42578125" style="1" customWidth="1"/>
    <col min="6" max="6" width="16.5703125" style="1" customWidth="1"/>
    <col min="7" max="8" width="15.28515625" style="1" customWidth="1"/>
    <col min="9" max="9" width="16.140625" style="1" customWidth="1"/>
    <col min="10" max="10" width="16.42578125" style="1" customWidth="1"/>
    <col min="11" max="11" width="15" style="1" customWidth="1"/>
    <col min="12" max="12" width="14.5703125" style="1" customWidth="1"/>
    <col min="13" max="15" width="16.7109375" style="1" customWidth="1"/>
    <col min="16" max="16384" width="9.140625" style="1"/>
  </cols>
  <sheetData>
    <row r="1" spans="1:15" ht="18.75" hidden="1" customHeight="1" outlineLevel="1">
      <c r="N1" s="425" t="s">
        <v>202</v>
      </c>
      <c r="O1" s="425"/>
    </row>
    <row r="2" spans="1:15" hidden="1" outlineLevel="1">
      <c r="N2" s="425" t="s">
        <v>222</v>
      </c>
      <c r="O2" s="425"/>
    </row>
    <row r="3" spans="1:15" collapsed="1">
      <c r="A3" s="426" t="s">
        <v>120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</row>
    <row r="4" spans="1:15">
      <c r="A4" s="426" t="s">
        <v>711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>
      <c r="A5" s="329" t="s">
        <v>304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</row>
    <row r="6" spans="1:15">
      <c r="A6" s="430" t="s">
        <v>132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</row>
    <row r="7" spans="1:15" ht="24.95" customHeight="1">
      <c r="A7" s="398" t="s">
        <v>94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</row>
    <row r="8" spans="1:15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4.95" customHeight="1">
      <c r="A9" s="419" t="s">
        <v>264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</row>
    <row r="10" spans="1:15" ht="20.100000000000001" customHeight="1">
      <c r="A10" s="423" t="s">
        <v>382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</row>
    <row r="11" spans="1:15" ht="20.100000000000001" customHeight="1">
      <c r="A11" s="423" t="s">
        <v>383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</row>
    <row r="12" spans="1:15" ht="20.100000000000001" customHeight="1">
      <c r="A12" s="424" t="s">
        <v>384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</row>
    <row r="13" spans="1:15" ht="33.75" customHeight="1">
      <c r="A13" s="423" t="s">
        <v>385</v>
      </c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</row>
    <row r="14" spans="1:15" ht="34.5" customHeight="1">
      <c r="A14" s="423" t="s">
        <v>715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</row>
    <row r="15" spans="1:15">
      <c r="A15" s="423" t="s">
        <v>386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</row>
    <row r="16" spans="1:15">
      <c r="A16" s="424" t="s">
        <v>387</v>
      </c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</row>
    <row r="17" spans="1:1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12.75" customHeight="1">
      <c r="B18" s="1"/>
    </row>
    <row r="19" spans="1:15" s="2" customFormat="1" ht="40.5" customHeight="1">
      <c r="A19" s="327" t="s">
        <v>242</v>
      </c>
      <c r="B19" s="327"/>
      <c r="C19" s="327"/>
      <c r="D19" s="327" t="s">
        <v>11</v>
      </c>
      <c r="E19" s="327"/>
      <c r="F19" s="327" t="s">
        <v>265</v>
      </c>
      <c r="G19" s="327"/>
      <c r="H19" s="327" t="s">
        <v>266</v>
      </c>
      <c r="I19" s="327"/>
      <c r="J19" s="403" t="s">
        <v>243</v>
      </c>
      <c r="K19" s="403"/>
      <c r="L19" s="327" t="s">
        <v>244</v>
      </c>
      <c r="M19" s="327"/>
    </row>
    <row r="20" spans="1:15" s="2" customFormat="1" ht="17.25" customHeight="1">
      <c r="A20" s="422">
        <v>1</v>
      </c>
      <c r="B20" s="422"/>
      <c r="C20" s="422"/>
      <c r="D20" s="422">
        <v>2</v>
      </c>
      <c r="E20" s="422"/>
      <c r="F20" s="420">
        <v>3</v>
      </c>
      <c r="G20" s="421"/>
      <c r="H20" s="421">
        <v>4</v>
      </c>
      <c r="I20" s="421"/>
      <c r="J20" s="421">
        <v>5</v>
      </c>
      <c r="K20" s="421"/>
      <c r="L20" s="422">
        <v>6</v>
      </c>
      <c r="M20" s="422"/>
      <c r="N20" s="153"/>
      <c r="O20" s="153"/>
    </row>
    <row r="21" spans="1:15" s="2" customFormat="1" ht="57.75" customHeight="1">
      <c r="A21" s="427" t="s">
        <v>9</v>
      </c>
      <c r="B21" s="428"/>
      <c r="C21" s="429"/>
      <c r="D21" s="320">
        <f>D22+D23+D24</f>
        <v>715</v>
      </c>
      <c r="E21" s="322"/>
      <c r="F21" s="376">
        <f>F22+F23+F24</f>
        <v>728</v>
      </c>
      <c r="G21" s="376"/>
      <c r="H21" s="330">
        <f>H22+H23+H24</f>
        <v>716</v>
      </c>
      <c r="I21" s="330"/>
      <c r="J21" s="369">
        <f>H21-F21</f>
        <v>-12</v>
      </c>
      <c r="K21" s="370"/>
      <c r="L21" s="369">
        <f>H21/F21*100</f>
        <v>98.35164835164835</v>
      </c>
      <c r="M21" s="369"/>
      <c r="N21" s="364"/>
      <c r="O21" s="364"/>
    </row>
    <row r="22" spans="1:15" s="2" customFormat="1" ht="20.100000000000001" customHeight="1">
      <c r="A22" s="372" t="s">
        <v>246</v>
      </c>
      <c r="B22" s="372"/>
      <c r="C22" s="372"/>
      <c r="D22" s="381">
        <v>1</v>
      </c>
      <c r="E22" s="382"/>
      <c r="F22" s="367">
        <v>1</v>
      </c>
      <c r="G22" s="367"/>
      <c r="H22" s="367">
        <v>1</v>
      </c>
      <c r="I22" s="367"/>
      <c r="J22" s="365">
        <f t="shared" ref="J22:J36" si="0">H22-F22</f>
        <v>0</v>
      </c>
      <c r="K22" s="371"/>
      <c r="L22" s="365">
        <f t="shared" ref="L22:L36" si="1">H22/F22*100</f>
        <v>100</v>
      </c>
      <c r="M22" s="365"/>
      <c r="N22" s="364"/>
      <c r="O22" s="364"/>
    </row>
    <row r="23" spans="1:15" s="2" customFormat="1">
      <c r="A23" s="372" t="s">
        <v>245</v>
      </c>
      <c r="B23" s="372"/>
      <c r="C23" s="372"/>
      <c r="D23" s="381">
        <v>70</v>
      </c>
      <c r="E23" s="382"/>
      <c r="F23" s="367">
        <v>71</v>
      </c>
      <c r="G23" s="367"/>
      <c r="H23" s="367">
        <v>67</v>
      </c>
      <c r="I23" s="367"/>
      <c r="J23" s="365">
        <f t="shared" si="0"/>
        <v>-4</v>
      </c>
      <c r="K23" s="371"/>
      <c r="L23" s="365">
        <f t="shared" si="1"/>
        <v>94.366197183098592</v>
      </c>
      <c r="M23" s="365"/>
      <c r="N23" s="364"/>
      <c r="O23" s="364"/>
    </row>
    <row r="24" spans="1:15" s="2" customFormat="1" ht="20.100000000000001" customHeight="1">
      <c r="A24" s="372" t="s">
        <v>247</v>
      </c>
      <c r="B24" s="372"/>
      <c r="C24" s="372"/>
      <c r="D24" s="381">
        <v>644</v>
      </c>
      <c r="E24" s="382"/>
      <c r="F24" s="367">
        <v>656</v>
      </c>
      <c r="G24" s="367"/>
      <c r="H24" s="367">
        <v>648</v>
      </c>
      <c r="I24" s="367"/>
      <c r="J24" s="365">
        <f t="shared" si="0"/>
        <v>-8</v>
      </c>
      <c r="K24" s="371"/>
      <c r="L24" s="365">
        <f t="shared" si="1"/>
        <v>98.780487804878049</v>
      </c>
      <c r="M24" s="365"/>
      <c r="N24" s="364"/>
      <c r="O24" s="364"/>
    </row>
    <row r="25" spans="1:15" s="2" customFormat="1">
      <c r="A25" s="340" t="s">
        <v>12</v>
      </c>
      <c r="B25" s="340"/>
      <c r="C25" s="340"/>
      <c r="D25" s="373">
        <f>D26+D27+D28</f>
        <v>96303.5</v>
      </c>
      <c r="E25" s="374"/>
      <c r="F25" s="366">
        <f>F26+F27+F28</f>
        <v>122489</v>
      </c>
      <c r="G25" s="366"/>
      <c r="H25" s="366">
        <f>H26+H27+H28</f>
        <v>94191.300000000017</v>
      </c>
      <c r="I25" s="366"/>
      <c r="J25" s="369">
        <f t="shared" si="0"/>
        <v>-28297.699999999983</v>
      </c>
      <c r="K25" s="370"/>
      <c r="L25" s="369">
        <f t="shared" si="1"/>
        <v>76.897762248038617</v>
      </c>
      <c r="M25" s="369"/>
      <c r="N25" s="364"/>
      <c r="O25" s="364"/>
    </row>
    <row r="26" spans="1:15" s="2" customFormat="1" ht="20.100000000000001" customHeight="1">
      <c r="A26" s="372" t="s">
        <v>246</v>
      </c>
      <c r="B26" s="372"/>
      <c r="C26" s="372"/>
      <c r="D26" s="375">
        <v>516</v>
      </c>
      <c r="E26" s="375"/>
      <c r="F26" s="368">
        <v>913.8</v>
      </c>
      <c r="G26" s="368"/>
      <c r="H26" s="368">
        <v>451.9</v>
      </c>
      <c r="I26" s="368"/>
      <c r="J26" s="365">
        <f t="shared" si="0"/>
        <v>-461.9</v>
      </c>
      <c r="K26" s="371"/>
      <c r="L26" s="365">
        <f t="shared" si="1"/>
        <v>49.45283431823156</v>
      </c>
      <c r="M26" s="365"/>
      <c r="N26" s="364"/>
      <c r="O26" s="364"/>
    </row>
    <row r="27" spans="1:15" s="2" customFormat="1">
      <c r="A27" s="372" t="s">
        <v>245</v>
      </c>
      <c r="B27" s="372"/>
      <c r="C27" s="372"/>
      <c r="D27" s="375">
        <f>10151-D26</f>
        <v>9635</v>
      </c>
      <c r="E27" s="327"/>
      <c r="F27" s="368">
        <f>-'I. Фін результат'!E63-'6.1. Інша інфо_1'!F26</f>
        <v>15777.5</v>
      </c>
      <c r="G27" s="367"/>
      <c r="H27" s="368">
        <f>11368.8-H26</f>
        <v>10916.9</v>
      </c>
      <c r="I27" s="367"/>
      <c r="J27" s="365">
        <f t="shared" si="0"/>
        <v>-4860.6000000000004</v>
      </c>
      <c r="K27" s="371"/>
      <c r="L27" s="365">
        <f t="shared" si="1"/>
        <v>69.192837902075738</v>
      </c>
      <c r="M27" s="365"/>
      <c r="N27" s="364"/>
      <c r="O27" s="364"/>
    </row>
    <row r="28" spans="1:15" s="2" customFormat="1" ht="20.100000000000001" customHeight="1">
      <c r="A28" s="372" t="s">
        <v>247</v>
      </c>
      <c r="B28" s="372"/>
      <c r="C28" s="372"/>
      <c r="D28" s="375">
        <f>96303.5-D27-D26</f>
        <v>86152.5</v>
      </c>
      <c r="E28" s="375"/>
      <c r="F28" s="368">
        <f>-'I. Фін результат'!E19</f>
        <v>105797.7</v>
      </c>
      <c r="G28" s="368"/>
      <c r="H28" s="368">
        <f>94191.3-H27-H26</f>
        <v>82822.500000000015</v>
      </c>
      <c r="I28" s="368"/>
      <c r="J28" s="365">
        <f t="shared" si="0"/>
        <v>-22975.199999999983</v>
      </c>
      <c r="K28" s="371"/>
      <c r="L28" s="365">
        <f t="shared" si="1"/>
        <v>78.283837928423793</v>
      </c>
      <c r="M28" s="365"/>
      <c r="N28" s="364"/>
      <c r="O28" s="364"/>
    </row>
    <row r="29" spans="1:15" s="2" customFormat="1">
      <c r="A29" s="340" t="s">
        <v>550</v>
      </c>
      <c r="B29" s="340"/>
      <c r="C29" s="340"/>
      <c r="D29" s="373">
        <f>D30+D31+D32</f>
        <v>98970</v>
      </c>
      <c r="E29" s="374"/>
      <c r="F29" s="366">
        <f>F30+F31+F32</f>
        <v>122489</v>
      </c>
      <c r="G29" s="366"/>
      <c r="H29" s="366">
        <f>H30+H31+H32</f>
        <v>96262</v>
      </c>
      <c r="I29" s="376"/>
      <c r="J29" s="369">
        <f t="shared" si="0"/>
        <v>-26227</v>
      </c>
      <c r="K29" s="370"/>
      <c r="L29" s="369">
        <f t="shared" si="1"/>
        <v>78.588281396696843</v>
      </c>
      <c r="M29" s="369"/>
      <c r="N29" s="364"/>
      <c r="O29" s="364"/>
    </row>
    <row r="30" spans="1:15" s="2" customFormat="1" ht="20.100000000000001" customHeight="1">
      <c r="A30" s="372" t="s">
        <v>246</v>
      </c>
      <c r="B30" s="372"/>
      <c r="C30" s="372"/>
      <c r="D30" s="375">
        <v>516</v>
      </c>
      <c r="E30" s="375"/>
      <c r="F30" s="368">
        <f>F26</f>
        <v>913.8</v>
      </c>
      <c r="G30" s="368"/>
      <c r="H30" s="368">
        <v>468</v>
      </c>
      <c r="I30" s="368"/>
      <c r="J30" s="365">
        <f t="shared" si="0"/>
        <v>-445.79999999999995</v>
      </c>
      <c r="K30" s="371"/>
      <c r="L30" s="365">
        <f t="shared" si="1"/>
        <v>51.214707813525941</v>
      </c>
      <c r="M30" s="365"/>
      <c r="N30" s="364"/>
      <c r="O30" s="364"/>
    </row>
    <row r="31" spans="1:15" s="2" customFormat="1">
      <c r="A31" s="372" t="s">
        <v>245</v>
      </c>
      <c r="B31" s="372"/>
      <c r="C31" s="372"/>
      <c r="D31" s="375">
        <f>-'I. Фін результат'!C63-D30</f>
        <v>9468</v>
      </c>
      <c r="E31" s="327"/>
      <c r="F31" s="368">
        <f>F27</f>
        <v>15777.5</v>
      </c>
      <c r="G31" s="368"/>
      <c r="H31" s="368">
        <f>-'I. Фін результат'!F63-'6.1. Інша інфо_1'!H30</f>
        <v>10330</v>
      </c>
      <c r="I31" s="367"/>
      <c r="J31" s="365">
        <f t="shared" si="0"/>
        <v>-5447.5</v>
      </c>
      <c r="K31" s="371"/>
      <c r="L31" s="365">
        <f t="shared" si="1"/>
        <v>65.472983679290138</v>
      </c>
      <c r="M31" s="365"/>
      <c r="N31" s="364"/>
      <c r="O31" s="364"/>
    </row>
    <row r="32" spans="1:15" s="2" customFormat="1" ht="20.100000000000001" customHeight="1">
      <c r="A32" s="372" t="s">
        <v>247</v>
      </c>
      <c r="B32" s="372"/>
      <c r="C32" s="372"/>
      <c r="D32" s="375">
        <f>'I. Фін результат'!C166-D31-D30</f>
        <v>88986</v>
      </c>
      <c r="E32" s="375"/>
      <c r="F32" s="368">
        <f>F28</f>
        <v>105797.7</v>
      </c>
      <c r="G32" s="368"/>
      <c r="H32" s="368">
        <f>'I. Фін результат'!F166-'6.1. Інша інфо_1'!H31:I31-'6.1. Інша інфо_1'!H30:I30</f>
        <v>85464</v>
      </c>
      <c r="I32" s="368"/>
      <c r="J32" s="365">
        <f t="shared" si="0"/>
        <v>-20333.699999999997</v>
      </c>
      <c r="K32" s="371"/>
      <c r="L32" s="365">
        <f t="shared" si="1"/>
        <v>80.780584076969546</v>
      </c>
      <c r="M32" s="365"/>
      <c r="N32" s="364"/>
      <c r="O32" s="364"/>
    </row>
    <row r="33" spans="1:15" s="2" customFormat="1" ht="42" customHeight="1">
      <c r="A33" s="340" t="s">
        <v>10</v>
      </c>
      <c r="B33" s="340"/>
      <c r="C33" s="340"/>
      <c r="D33" s="373">
        <f>ROUND(D29/D21/12*1000,2)</f>
        <v>11534.97</v>
      </c>
      <c r="E33" s="374"/>
      <c r="F33" s="366">
        <f>ROUND(F29/F21/12*1000,1)</f>
        <v>14021.2</v>
      </c>
      <c r="G33" s="366"/>
      <c r="H33" s="366">
        <f>ROUND(H29/H21/12*1000,2)</f>
        <v>11203.68</v>
      </c>
      <c r="I33" s="366"/>
      <c r="J33" s="369">
        <f t="shared" si="0"/>
        <v>-2817.5200000000004</v>
      </c>
      <c r="K33" s="370"/>
      <c r="L33" s="369">
        <f t="shared" si="1"/>
        <v>79.905286280774817</v>
      </c>
      <c r="M33" s="369"/>
      <c r="N33" s="364"/>
      <c r="O33" s="364"/>
    </row>
    <row r="34" spans="1:15" s="2" customFormat="1" ht="20.100000000000001" customHeight="1">
      <c r="A34" s="372" t="s">
        <v>246</v>
      </c>
      <c r="B34" s="372"/>
      <c r="C34" s="372"/>
      <c r="D34" s="375">
        <f>ROUND(D30/D22/12*1000,2)</f>
        <v>43000</v>
      </c>
      <c r="E34" s="375"/>
      <c r="F34" s="368">
        <f>ROUND(F30/F22/12*1000,1)</f>
        <v>76150</v>
      </c>
      <c r="G34" s="368"/>
      <c r="H34" s="368">
        <f>ROUND(H30/H22/12*1000,2)</f>
        <v>39000</v>
      </c>
      <c r="I34" s="368"/>
      <c r="J34" s="365">
        <f t="shared" si="0"/>
        <v>-37150</v>
      </c>
      <c r="K34" s="371"/>
      <c r="L34" s="365">
        <f t="shared" si="1"/>
        <v>51.214707813525941</v>
      </c>
      <c r="M34" s="365"/>
      <c r="N34" s="364"/>
      <c r="O34" s="364"/>
    </row>
    <row r="35" spans="1:15" s="2" customFormat="1">
      <c r="A35" s="372" t="s">
        <v>245</v>
      </c>
      <c r="B35" s="372"/>
      <c r="C35" s="372"/>
      <c r="D35" s="375">
        <f>ROUND(D31/D23/12*1000,2)</f>
        <v>11271.43</v>
      </c>
      <c r="E35" s="375"/>
      <c r="F35" s="368">
        <f>ROUND(F31/F23/12*1000,1)</f>
        <v>18518.2</v>
      </c>
      <c r="G35" s="368"/>
      <c r="H35" s="368">
        <f>ROUND(H31/H23/12*1000,2)</f>
        <v>12848.26</v>
      </c>
      <c r="I35" s="368"/>
      <c r="J35" s="365">
        <f t="shared" si="0"/>
        <v>-5669.9400000000005</v>
      </c>
      <c r="K35" s="371"/>
      <c r="L35" s="365">
        <f t="shared" si="1"/>
        <v>69.381797366914711</v>
      </c>
      <c r="M35" s="365"/>
      <c r="N35" s="364"/>
      <c r="O35" s="364"/>
    </row>
    <row r="36" spans="1:15" s="2" customFormat="1" ht="20.100000000000001" customHeight="1">
      <c r="A36" s="372" t="s">
        <v>247</v>
      </c>
      <c r="B36" s="372"/>
      <c r="C36" s="372"/>
      <c r="D36" s="375">
        <f>ROUND(D32/D24/12*1000,2)</f>
        <v>11514.75</v>
      </c>
      <c r="E36" s="375"/>
      <c r="F36" s="368">
        <f>ROUND(F32/F24/12*1000,1)</f>
        <v>13439.7</v>
      </c>
      <c r="G36" s="368"/>
      <c r="H36" s="368">
        <f>ROUND(H32/H24/12*1000,2)</f>
        <v>10990.74</v>
      </c>
      <c r="I36" s="368"/>
      <c r="J36" s="365">
        <f t="shared" si="0"/>
        <v>-2448.9600000000009</v>
      </c>
      <c r="K36" s="371"/>
      <c r="L36" s="365">
        <f t="shared" si="1"/>
        <v>81.77816469117613</v>
      </c>
      <c r="M36" s="365"/>
      <c r="N36" s="364"/>
      <c r="O36" s="364"/>
    </row>
    <row r="37" spans="1:15" s="2" customFormat="1" ht="13.5" customHeight="1">
      <c r="A37" s="26"/>
      <c r="B37" s="26"/>
      <c r="C37" s="26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4"/>
      <c r="O37" s="94"/>
    </row>
    <row r="38" spans="1:15" ht="22.5" customHeight="1">
      <c r="A38" s="406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</row>
    <row r="39" spans="1:15" ht="11.25" customHeight="1">
      <c r="A39" s="22"/>
      <c r="B39" s="22"/>
      <c r="C39" s="22"/>
      <c r="D39" s="22"/>
      <c r="E39" s="22"/>
      <c r="F39" s="22"/>
      <c r="G39" s="22"/>
      <c r="H39" s="22"/>
      <c r="I39" s="22"/>
    </row>
    <row r="40" spans="1:15" ht="30.75" customHeight="1">
      <c r="A40" s="398" t="s">
        <v>248</v>
      </c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</row>
    <row r="41" spans="1:15" ht="12.75" customHeight="1"/>
    <row r="42" spans="1:15" ht="24.95" customHeight="1">
      <c r="A42" s="38" t="s">
        <v>133</v>
      </c>
      <c r="B42" s="388" t="s">
        <v>274</v>
      </c>
      <c r="C42" s="389"/>
      <c r="D42" s="389"/>
      <c r="E42" s="389"/>
      <c r="F42" s="319" t="s">
        <v>90</v>
      </c>
      <c r="G42" s="319"/>
      <c r="H42" s="319"/>
      <c r="I42" s="319"/>
      <c r="J42" s="319"/>
      <c r="K42" s="319"/>
      <c r="L42" s="319"/>
      <c r="M42" s="319"/>
      <c r="N42" s="319"/>
      <c r="O42" s="319"/>
    </row>
    <row r="43" spans="1:15" ht="17.25" customHeight="1">
      <c r="A43" s="38">
        <v>1</v>
      </c>
      <c r="B43" s="388">
        <v>2</v>
      </c>
      <c r="C43" s="389"/>
      <c r="D43" s="389"/>
      <c r="E43" s="389"/>
      <c r="F43" s="319">
        <v>3</v>
      </c>
      <c r="G43" s="319"/>
      <c r="H43" s="319"/>
      <c r="I43" s="319"/>
      <c r="J43" s="319"/>
      <c r="K43" s="319"/>
      <c r="L43" s="319"/>
      <c r="M43" s="319"/>
      <c r="N43" s="319"/>
      <c r="O43" s="319"/>
    </row>
    <row r="44" spans="1:15" ht="20.100000000000001" customHeight="1">
      <c r="A44" s="89"/>
      <c r="B44" s="404"/>
      <c r="C44" s="405"/>
      <c r="D44" s="405"/>
      <c r="E44" s="405"/>
      <c r="F44" s="383"/>
      <c r="G44" s="383"/>
      <c r="H44" s="383"/>
      <c r="I44" s="383"/>
      <c r="J44" s="383"/>
      <c r="K44" s="383"/>
      <c r="L44" s="383"/>
      <c r="M44" s="383"/>
      <c r="N44" s="383"/>
      <c r="O44" s="383"/>
    </row>
    <row r="45" spans="1:15" ht="20.100000000000001" customHeight="1">
      <c r="A45" s="89"/>
      <c r="B45" s="404"/>
      <c r="C45" s="405"/>
      <c r="D45" s="405"/>
      <c r="E45" s="405"/>
      <c r="F45" s="383"/>
      <c r="G45" s="383"/>
      <c r="H45" s="383"/>
      <c r="I45" s="383"/>
      <c r="J45" s="383"/>
      <c r="K45" s="383"/>
      <c r="L45" s="383"/>
      <c r="M45" s="383"/>
      <c r="N45" s="383"/>
      <c r="O45" s="383"/>
    </row>
    <row r="46" spans="1:15" ht="20.100000000000001" customHeight="1">
      <c r="A46" s="89"/>
      <c r="B46" s="404"/>
      <c r="C46" s="405"/>
      <c r="D46" s="405"/>
      <c r="E46" s="405"/>
      <c r="F46" s="383"/>
      <c r="G46" s="383"/>
      <c r="H46" s="383"/>
      <c r="I46" s="383"/>
      <c r="J46" s="383"/>
      <c r="K46" s="383"/>
      <c r="L46" s="383"/>
      <c r="M46" s="383"/>
      <c r="N46" s="383"/>
      <c r="O46" s="383"/>
    </row>
    <row r="47" spans="1:15" ht="20.100000000000001" customHeight="1">
      <c r="A47" s="89"/>
      <c r="B47" s="404"/>
      <c r="C47" s="405"/>
      <c r="D47" s="405"/>
      <c r="E47" s="405"/>
      <c r="F47" s="383"/>
      <c r="G47" s="383"/>
      <c r="H47" s="383"/>
      <c r="I47" s="383"/>
      <c r="J47" s="383"/>
      <c r="K47" s="383"/>
      <c r="L47" s="383"/>
      <c r="M47" s="383"/>
      <c r="N47" s="383"/>
      <c r="O47" s="383"/>
    </row>
    <row r="48" spans="1:15" ht="20.100000000000001" customHeight="1">
      <c r="A48" s="89"/>
      <c r="B48" s="404"/>
      <c r="C48" s="405"/>
      <c r="D48" s="405"/>
      <c r="E48" s="405"/>
      <c r="F48" s="383"/>
      <c r="G48" s="383"/>
      <c r="H48" s="383"/>
      <c r="I48" s="383"/>
      <c r="J48" s="383"/>
      <c r="K48" s="383"/>
      <c r="L48" s="383"/>
      <c r="M48" s="383"/>
      <c r="N48" s="383"/>
      <c r="O48" s="383"/>
    </row>
    <row r="49" spans="1:15">
      <c r="A49" s="398" t="s">
        <v>212</v>
      </c>
      <c r="B49" s="398"/>
      <c r="C49" s="398"/>
      <c r="D49" s="398"/>
      <c r="E49" s="398"/>
      <c r="F49" s="398"/>
      <c r="G49" s="398"/>
      <c r="H49" s="398"/>
      <c r="I49" s="398"/>
      <c r="J49" s="398"/>
    </row>
    <row r="50" spans="1:15">
      <c r="A50" s="18"/>
    </row>
    <row r="51" spans="1:15" ht="25.5" customHeight="1">
      <c r="A51" s="407" t="s">
        <v>242</v>
      </c>
      <c r="B51" s="408"/>
      <c r="C51" s="409"/>
      <c r="D51" s="327" t="s">
        <v>203</v>
      </c>
      <c r="E51" s="327"/>
      <c r="F51" s="327"/>
      <c r="G51" s="327" t="s">
        <v>195</v>
      </c>
      <c r="H51" s="327"/>
      <c r="I51" s="327"/>
      <c r="J51" s="327" t="s">
        <v>243</v>
      </c>
      <c r="K51" s="327"/>
      <c r="L51" s="327"/>
      <c r="M51" s="381" t="s">
        <v>244</v>
      </c>
      <c r="N51" s="403"/>
      <c r="O51" s="382"/>
    </row>
    <row r="52" spans="1:15" ht="146.25" customHeight="1">
      <c r="A52" s="410"/>
      <c r="B52" s="411"/>
      <c r="C52" s="412"/>
      <c r="D52" s="6" t="s">
        <v>261</v>
      </c>
      <c r="E52" s="6" t="s">
        <v>260</v>
      </c>
      <c r="F52" s="6" t="s">
        <v>259</v>
      </c>
      <c r="G52" s="6" t="s">
        <v>261</v>
      </c>
      <c r="H52" s="6" t="s">
        <v>260</v>
      </c>
      <c r="I52" s="6" t="s">
        <v>259</v>
      </c>
      <c r="J52" s="6" t="s">
        <v>261</v>
      </c>
      <c r="K52" s="6" t="s">
        <v>260</v>
      </c>
      <c r="L52" s="6" t="s">
        <v>259</v>
      </c>
      <c r="M52" s="102" t="s">
        <v>204</v>
      </c>
      <c r="N52" s="102" t="s">
        <v>205</v>
      </c>
      <c r="O52" s="102" t="s">
        <v>289</v>
      </c>
    </row>
    <row r="53" spans="1:15">
      <c r="A53" s="381">
        <v>1</v>
      </c>
      <c r="B53" s="403"/>
      <c r="C53" s="382"/>
      <c r="D53" s="6">
        <v>4</v>
      </c>
      <c r="E53" s="6">
        <v>5</v>
      </c>
      <c r="F53" s="6">
        <v>6</v>
      </c>
      <c r="G53" s="6">
        <v>7</v>
      </c>
      <c r="H53" s="5">
        <v>8</v>
      </c>
      <c r="I53" s="5">
        <v>9</v>
      </c>
      <c r="J53" s="5">
        <v>10</v>
      </c>
      <c r="K53" s="5">
        <v>11</v>
      </c>
      <c r="L53" s="5">
        <v>12</v>
      </c>
      <c r="M53" s="5">
        <v>13</v>
      </c>
      <c r="N53" s="5">
        <v>14</v>
      </c>
      <c r="O53" s="5">
        <v>15</v>
      </c>
    </row>
    <row r="54" spans="1:15">
      <c r="A54" s="391" t="s">
        <v>314</v>
      </c>
      <c r="B54" s="392"/>
      <c r="C54" s="393"/>
      <c r="D54" s="104">
        <f>('I. Фін результат'!E9+'I. Фін результат'!E10)</f>
        <v>257936.9</v>
      </c>
      <c r="E54" s="104">
        <v>1605</v>
      </c>
      <c r="F54" s="104">
        <f>D54/E54</f>
        <v>160.7083489096573</v>
      </c>
      <c r="G54" s="104">
        <f>('I. Фін результат'!F9+'I. Фін результат'!F10)</f>
        <v>134265.70000000001</v>
      </c>
      <c r="H54" s="104">
        <v>1036</v>
      </c>
      <c r="I54" s="104">
        <f>G54/H54</f>
        <v>129.60009652509655</v>
      </c>
      <c r="J54" s="104">
        <f t="shared" ref="J54:L58" si="2">G54-D54</f>
        <v>-123671.19999999998</v>
      </c>
      <c r="K54" s="104">
        <f t="shared" si="2"/>
        <v>-569</v>
      </c>
      <c r="L54" s="104">
        <f t="shared" si="2"/>
        <v>-31.108252384560757</v>
      </c>
      <c r="M54" s="130">
        <f>G54/D54*100</f>
        <v>52.053699955299152</v>
      </c>
      <c r="N54" s="130">
        <f>H54/E54*100</f>
        <v>64.548286604361365</v>
      </c>
      <c r="O54" s="130">
        <f>I54/F54*100</f>
        <v>80.643039023412314</v>
      </c>
    </row>
    <row r="55" spans="1:15">
      <c r="A55" s="391" t="s">
        <v>315</v>
      </c>
      <c r="B55" s="392"/>
      <c r="C55" s="393"/>
      <c r="D55" s="104">
        <f>'I. Фін результат'!E14</f>
        <v>1375</v>
      </c>
      <c r="E55" s="104"/>
      <c r="F55" s="104"/>
      <c r="G55" s="104">
        <f>'I. Фін результат'!F14</f>
        <v>982.3</v>
      </c>
      <c r="H55" s="104"/>
      <c r="I55" s="104"/>
      <c r="J55" s="104">
        <f t="shared" si="2"/>
        <v>-392.70000000000005</v>
      </c>
      <c r="K55" s="104">
        <f t="shared" si="2"/>
        <v>0</v>
      </c>
      <c r="L55" s="104">
        <f t="shared" si="2"/>
        <v>0</v>
      </c>
      <c r="M55" s="130">
        <f>G55/D55*100</f>
        <v>71.44</v>
      </c>
      <c r="N55" s="130"/>
      <c r="O55" s="130"/>
    </row>
    <row r="56" spans="1:15" ht="20.100000000000001" customHeight="1">
      <c r="A56" s="391" t="s">
        <v>316</v>
      </c>
      <c r="B56" s="392"/>
      <c r="C56" s="393"/>
      <c r="D56" s="104">
        <f>'I. Фін результат'!E12</f>
        <v>27520</v>
      </c>
      <c r="E56" s="104"/>
      <c r="F56" s="104"/>
      <c r="G56" s="104">
        <f>'I. Фін результат'!F12</f>
        <v>34361.800000000003</v>
      </c>
      <c r="H56" s="104"/>
      <c r="I56" s="104"/>
      <c r="J56" s="104">
        <f t="shared" si="2"/>
        <v>6841.8000000000029</v>
      </c>
      <c r="K56" s="104">
        <f t="shared" si="2"/>
        <v>0</v>
      </c>
      <c r="L56" s="104">
        <f t="shared" si="2"/>
        <v>0</v>
      </c>
      <c r="M56" s="130">
        <f>G56/D56*100</f>
        <v>124.86119186046514</v>
      </c>
      <c r="N56" s="130"/>
      <c r="O56" s="130"/>
    </row>
    <row r="57" spans="1:15" ht="20.100000000000001" customHeight="1">
      <c r="A57" s="391" t="s">
        <v>317</v>
      </c>
      <c r="B57" s="392"/>
      <c r="C57" s="393"/>
      <c r="D57" s="104">
        <f>'I. Фін результат'!E13</f>
        <v>1400</v>
      </c>
      <c r="E57" s="104"/>
      <c r="F57" s="104"/>
      <c r="G57" s="104">
        <f>'I. Фін результат'!F13</f>
        <v>714.2</v>
      </c>
      <c r="H57" s="104"/>
      <c r="I57" s="104"/>
      <c r="J57" s="104">
        <f t="shared" si="2"/>
        <v>-685.8</v>
      </c>
      <c r="K57" s="104">
        <f t="shared" si="2"/>
        <v>0</v>
      </c>
      <c r="L57" s="104">
        <f t="shared" si="2"/>
        <v>0</v>
      </c>
      <c r="M57" s="130">
        <f>G57/D57*100</f>
        <v>51.014285714285712</v>
      </c>
      <c r="N57" s="130"/>
      <c r="O57" s="130"/>
    </row>
    <row r="58" spans="1:15" ht="24.95" customHeight="1">
      <c r="A58" s="415" t="s">
        <v>63</v>
      </c>
      <c r="B58" s="416"/>
      <c r="C58" s="417"/>
      <c r="D58" s="115">
        <f>SUM(D54:D57)</f>
        <v>288231.90000000002</v>
      </c>
      <c r="E58" s="115"/>
      <c r="F58" s="115"/>
      <c r="G58" s="115">
        <f>SUM(G54:G57)</f>
        <v>170324</v>
      </c>
      <c r="H58" s="115"/>
      <c r="I58" s="115"/>
      <c r="J58" s="115">
        <f t="shared" si="2"/>
        <v>-117907.90000000002</v>
      </c>
      <c r="K58" s="115">
        <f t="shared" si="2"/>
        <v>0</v>
      </c>
      <c r="L58" s="115">
        <f t="shared" si="2"/>
        <v>0</v>
      </c>
      <c r="M58" s="188">
        <f>G58/D58*100</f>
        <v>59.092695846642926</v>
      </c>
      <c r="N58" s="188"/>
      <c r="O58" s="188"/>
    </row>
    <row r="59" spans="1:15">
      <c r="A59" s="20"/>
      <c r="B59" s="21"/>
      <c r="C59" s="21"/>
      <c r="D59" s="21"/>
      <c r="E59" s="21"/>
      <c r="F59" s="11"/>
      <c r="G59" s="11"/>
      <c r="H59" s="11"/>
      <c r="I59" s="4"/>
      <c r="J59" s="4"/>
      <c r="K59" s="4"/>
      <c r="L59" s="4"/>
      <c r="M59" s="4"/>
      <c r="N59" s="4"/>
      <c r="O59" s="4"/>
    </row>
    <row r="60" spans="1:15">
      <c r="A60" s="398" t="s">
        <v>80</v>
      </c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</row>
    <row r="61" spans="1:15">
      <c r="A61" s="18"/>
    </row>
    <row r="62" spans="1:15" ht="56.25" customHeight="1">
      <c r="A62" s="6" t="s">
        <v>124</v>
      </c>
      <c r="B62" s="327" t="s">
        <v>79</v>
      </c>
      <c r="C62" s="327"/>
      <c r="D62" s="327" t="s">
        <v>74</v>
      </c>
      <c r="E62" s="327"/>
      <c r="F62" s="327" t="s">
        <v>75</v>
      </c>
      <c r="G62" s="327"/>
      <c r="H62" s="327" t="s">
        <v>93</v>
      </c>
      <c r="I62" s="327"/>
      <c r="J62" s="327"/>
      <c r="K62" s="381" t="s">
        <v>91</v>
      </c>
      <c r="L62" s="382"/>
      <c r="M62" s="381" t="s">
        <v>45</v>
      </c>
      <c r="N62" s="403"/>
      <c r="O62" s="382"/>
    </row>
    <row r="63" spans="1:15">
      <c r="A63" s="5">
        <v>1</v>
      </c>
      <c r="B63" s="319">
        <v>2</v>
      </c>
      <c r="C63" s="319"/>
      <c r="D63" s="319">
        <v>3</v>
      </c>
      <c r="E63" s="319"/>
      <c r="F63" s="319">
        <v>4</v>
      </c>
      <c r="G63" s="319"/>
      <c r="H63" s="319">
        <v>5</v>
      </c>
      <c r="I63" s="319"/>
      <c r="J63" s="319"/>
      <c r="K63" s="319">
        <v>6</v>
      </c>
      <c r="L63" s="319"/>
      <c r="M63" s="388">
        <v>7</v>
      </c>
      <c r="N63" s="389"/>
      <c r="O63" s="390"/>
    </row>
    <row r="64" spans="1:15">
      <c r="A64" s="84"/>
      <c r="B64" s="383"/>
      <c r="C64" s="383"/>
      <c r="D64" s="378"/>
      <c r="E64" s="378"/>
      <c r="F64" s="397" t="s">
        <v>217</v>
      </c>
      <c r="G64" s="397"/>
      <c r="H64" s="384"/>
      <c r="I64" s="384"/>
      <c r="J64" s="384"/>
      <c r="K64" s="379"/>
      <c r="L64" s="380"/>
      <c r="M64" s="378"/>
      <c r="N64" s="378"/>
      <c r="O64" s="378"/>
    </row>
    <row r="65" spans="1:15">
      <c r="A65" s="84"/>
      <c r="B65" s="401"/>
      <c r="C65" s="402"/>
      <c r="D65" s="385"/>
      <c r="E65" s="387"/>
      <c r="F65" s="413"/>
      <c r="G65" s="414"/>
      <c r="H65" s="394"/>
      <c r="I65" s="395"/>
      <c r="J65" s="396"/>
      <c r="K65" s="379"/>
      <c r="L65" s="380"/>
      <c r="M65" s="385"/>
      <c r="N65" s="386"/>
      <c r="O65" s="387"/>
    </row>
    <row r="66" spans="1:15">
      <c r="A66" s="84"/>
      <c r="B66" s="404"/>
      <c r="C66" s="418"/>
      <c r="D66" s="385"/>
      <c r="E66" s="387"/>
      <c r="F66" s="413"/>
      <c r="G66" s="414"/>
      <c r="H66" s="394"/>
      <c r="I66" s="395"/>
      <c r="J66" s="396"/>
      <c r="K66" s="379"/>
      <c r="L66" s="380"/>
      <c r="M66" s="385"/>
      <c r="N66" s="386"/>
      <c r="O66" s="387"/>
    </row>
    <row r="67" spans="1:15">
      <c r="A67" s="84"/>
      <c r="B67" s="383"/>
      <c r="C67" s="383"/>
      <c r="D67" s="378"/>
      <c r="E67" s="378"/>
      <c r="F67" s="397"/>
      <c r="G67" s="397"/>
      <c r="H67" s="384"/>
      <c r="I67" s="384"/>
      <c r="J67" s="384"/>
      <c r="K67" s="379"/>
      <c r="L67" s="380"/>
      <c r="M67" s="378"/>
      <c r="N67" s="378"/>
      <c r="O67" s="378"/>
    </row>
    <row r="68" spans="1:15">
      <c r="A68" s="40" t="s">
        <v>63</v>
      </c>
      <c r="B68" s="319" t="s">
        <v>46</v>
      </c>
      <c r="C68" s="319"/>
      <c r="D68" s="319" t="s">
        <v>46</v>
      </c>
      <c r="E68" s="319"/>
      <c r="F68" s="319" t="s">
        <v>46</v>
      </c>
      <c r="G68" s="319"/>
      <c r="H68" s="384"/>
      <c r="I68" s="384"/>
      <c r="J68" s="384"/>
      <c r="K68" s="399">
        <f>SUM(K64:L67)</f>
        <v>0</v>
      </c>
      <c r="L68" s="400"/>
      <c r="M68" s="378"/>
      <c r="N68" s="378"/>
      <c r="O68" s="378"/>
    </row>
    <row r="69" spans="1:15">
      <c r="A69" s="11"/>
      <c r="B69" s="23"/>
      <c r="C69" s="23"/>
      <c r="D69" s="23"/>
      <c r="E69" s="23"/>
      <c r="F69" s="23"/>
      <c r="G69" s="23"/>
      <c r="H69" s="23"/>
      <c r="I69" s="23"/>
      <c r="J69" s="23"/>
      <c r="K69" s="2"/>
      <c r="L69" s="2"/>
      <c r="M69" s="2"/>
      <c r="N69" s="2"/>
      <c r="O69" s="2"/>
    </row>
    <row r="70" spans="1:15">
      <c r="A70" s="398" t="s">
        <v>81</v>
      </c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</row>
    <row r="71" spans="1:15" ht="15" customHeight="1">
      <c r="A71" s="4"/>
      <c r="B71" s="16"/>
      <c r="C71" s="4"/>
      <c r="D71" s="4"/>
      <c r="E71" s="4"/>
      <c r="F71" s="4"/>
      <c r="G71" s="4"/>
      <c r="H71" s="4"/>
      <c r="I71" s="15"/>
    </row>
    <row r="72" spans="1:15" ht="42.75" customHeight="1">
      <c r="A72" s="327" t="s">
        <v>73</v>
      </c>
      <c r="B72" s="327"/>
      <c r="C72" s="327"/>
      <c r="D72" s="327" t="s">
        <v>206</v>
      </c>
      <c r="E72" s="327"/>
      <c r="F72" s="327" t="s">
        <v>207</v>
      </c>
      <c r="G72" s="327"/>
      <c r="H72" s="327"/>
      <c r="I72" s="327"/>
      <c r="J72" s="327" t="s">
        <v>210</v>
      </c>
      <c r="K72" s="327"/>
      <c r="L72" s="327"/>
      <c r="M72" s="327"/>
      <c r="N72" s="327" t="s">
        <v>211</v>
      </c>
      <c r="O72" s="327"/>
    </row>
    <row r="73" spans="1:15" ht="42.75" customHeight="1">
      <c r="A73" s="327"/>
      <c r="B73" s="327"/>
      <c r="C73" s="327"/>
      <c r="D73" s="327"/>
      <c r="E73" s="327"/>
      <c r="F73" s="319" t="s">
        <v>208</v>
      </c>
      <c r="G73" s="319"/>
      <c r="H73" s="327" t="s">
        <v>209</v>
      </c>
      <c r="I73" s="327"/>
      <c r="J73" s="319" t="s">
        <v>208</v>
      </c>
      <c r="K73" s="319"/>
      <c r="L73" s="327" t="s">
        <v>209</v>
      </c>
      <c r="M73" s="327"/>
      <c r="N73" s="327"/>
      <c r="O73" s="327"/>
    </row>
    <row r="74" spans="1:15">
      <c r="A74" s="327">
        <v>1</v>
      </c>
      <c r="B74" s="327"/>
      <c r="C74" s="327"/>
      <c r="D74" s="381">
        <v>2</v>
      </c>
      <c r="E74" s="382"/>
      <c r="F74" s="381">
        <v>3</v>
      </c>
      <c r="G74" s="382"/>
      <c r="H74" s="388">
        <v>4</v>
      </c>
      <c r="I74" s="390"/>
      <c r="J74" s="388">
        <v>5</v>
      </c>
      <c r="K74" s="390"/>
      <c r="L74" s="388">
        <v>6</v>
      </c>
      <c r="M74" s="390"/>
      <c r="N74" s="388">
        <v>7</v>
      </c>
      <c r="O74" s="390"/>
    </row>
    <row r="75" spans="1:15" ht="20.100000000000001" customHeight="1">
      <c r="A75" s="377" t="s">
        <v>256</v>
      </c>
      <c r="B75" s="377"/>
      <c r="C75" s="377"/>
      <c r="D75" s="379"/>
      <c r="E75" s="380"/>
      <c r="F75" s="379"/>
      <c r="G75" s="380"/>
      <c r="H75" s="379"/>
      <c r="I75" s="380"/>
      <c r="J75" s="379"/>
      <c r="K75" s="380"/>
      <c r="L75" s="379"/>
      <c r="M75" s="380"/>
      <c r="N75" s="379"/>
      <c r="O75" s="380"/>
    </row>
    <row r="76" spans="1:15" ht="20.100000000000001" customHeight="1">
      <c r="A76" s="377" t="s">
        <v>102</v>
      </c>
      <c r="B76" s="377"/>
      <c r="C76" s="377"/>
      <c r="D76" s="379"/>
      <c r="E76" s="380"/>
      <c r="F76" s="379"/>
      <c r="G76" s="380"/>
      <c r="H76" s="379"/>
      <c r="I76" s="380"/>
      <c r="J76" s="379"/>
      <c r="K76" s="380"/>
      <c r="L76" s="379"/>
      <c r="M76" s="380"/>
      <c r="N76" s="379"/>
      <c r="O76" s="380"/>
    </row>
    <row r="77" spans="1:15" ht="20.100000000000001" customHeight="1">
      <c r="A77" s="377"/>
      <c r="B77" s="377"/>
      <c r="C77" s="377"/>
      <c r="D77" s="379"/>
      <c r="E77" s="380"/>
      <c r="F77" s="379"/>
      <c r="G77" s="380"/>
      <c r="H77" s="379"/>
      <c r="I77" s="380"/>
      <c r="J77" s="379"/>
      <c r="K77" s="380"/>
      <c r="L77" s="379"/>
      <c r="M77" s="380"/>
      <c r="N77" s="379"/>
      <c r="O77" s="380"/>
    </row>
    <row r="78" spans="1:15" ht="20.100000000000001" customHeight="1">
      <c r="A78" s="377" t="s">
        <v>257</v>
      </c>
      <c r="B78" s="377"/>
      <c r="C78" s="377"/>
      <c r="D78" s="379"/>
      <c r="E78" s="380"/>
      <c r="F78" s="379"/>
      <c r="G78" s="380"/>
      <c r="H78" s="379"/>
      <c r="I78" s="380"/>
      <c r="J78" s="379"/>
      <c r="K78" s="380"/>
      <c r="L78" s="379"/>
      <c r="M78" s="380"/>
      <c r="N78" s="379"/>
      <c r="O78" s="380"/>
    </row>
    <row r="79" spans="1:15" ht="20.100000000000001" customHeight="1">
      <c r="A79" s="377" t="s">
        <v>103</v>
      </c>
      <c r="B79" s="377"/>
      <c r="C79" s="377"/>
      <c r="D79" s="379"/>
      <c r="E79" s="380"/>
      <c r="F79" s="379"/>
      <c r="G79" s="380"/>
      <c r="H79" s="379"/>
      <c r="I79" s="380"/>
      <c r="J79" s="379"/>
      <c r="K79" s="380"/>
      <c r="L79" s="379"/>
      <c r="M79" s="380"/>
      <c r="N79" s="379"/>
      <c r="O79" s="380"/>
    </row>
    <row r="80" spans="1:15" ht="20.100000000000001" customHeight="1">
      <c r="A80" s="377"/>
      <c r="B80" s="377"/>
      <c r="C80" s="377"/>
      <c r="D80" s="379"/>
      <c r="E80" s="380"/>
      <c r="F80" s="379"/>
      <c r="G80" s="380"/>
      <c r="H80" s="379"/>
      <c r="I80" s="380"/>
      <c r="J80" s="379"/>
      <c r="K80" s="380"/>
      <c r="L80" s="379"/>
      <c r="M80" s="380"/>
      <c r="N80" s="379"/>
      <c r="O80" s="380"/>
    </row>
    <row r="81" spans="1:15" ht="20.100000000000001" customHeight="1">
      <c r="A81" s="377" t="s">
        <v>258</v>
      </c>
      <c r="B81" s="377"/>
      <c r="C81" s="377"/>
      <c r="D81" s="379"/>
      <c r="E81" s="380"/>
      <c r="F81" s="379"/>
      <c r="G81" s="380"/>
      <c r="H81" s="379"/>
      <c r="I81" s="380"/>
      <c r="J81" s="379"/>
      <c r="K81" s="380"/>
      <c r="L81" s="379"/>
      <c r="M81" s="380"/>
      <c r="N81" s="379"/>
      <c r="O81" s="380"/>
    </row>
    <row r="82" spans="1:15" ht="20.100000000000001" customHeight="1">
      <c r="A82" s="377" t="s">
        <v>102</v>
      </c>
      <c r="B82" s="377"/>
      <c r="C82" s="377"/>
      <c r="D82" s="379"/>
      <c r="E82" s="380"/>
      <c r="F82" s="379"/>
      <c r="G82" s="380"/>
      <c r="H82" s="379"/>
      <c r="I82" s="380"/>
      <c r="J82" s="379"/>
      <c r="K82" s="380"/>
      <c r="L82" s="379"/>
      <c r="M82" s="380"/>
      <c r="N82" s="379"/>
      <c r="O82" s="380"/>
    </row>
    <row r="83" spans="1:15" ht="20.100000000000001" customHeight="1">
      <c r="A83" s="377"/>
      <c r="B83" s="377"/>
      <c r="C83" s="377"/>
      <c r="D83" s="379"/>
      <c r="E83" s="380"/>
      <c r="F83" s="379"/>
      <c r="G83" s="380"/>
      <c r="H83" s="379"/>
      <c r="I83" s="380"/>
      <c r="J83" s="379"/>
      <c r="K83" s="380"/>
      <c r="L83" s="379"/>
      <c r="M83" s="380"/>
      <c r="N83" s="379"/>
      <c r="O83" s="380"/>
    </row>
    <row r="84" spans="1:15" ht="24.95" customHeight="1">
      <c r="A84" s="377" t="s">
        <v>63</v>
      </c>
      <c r="B84" s="377"/>
      <c r="C84" s="377"/>
      <c r="D84" s="379"/>
      <c r="E84" s="380"/>
      <c r="F84" s="379"/>
      <c r="G84" s="380"/>
      <c r="H84" s="379"/>
      <c r="I84" s="380"/>
      <c r="J84" s="379"/>
      <c r="K84" s="380"/>
      <c r="L84" s="379"/>
      <c r="M84" s="380"/>
      <c r="N84" s="379"/>
      <c r="O84" s="380"/>
    </row>
    <row r="85" spans="1:15">
      <c r="C85" s="28"/>
      <c r="D85" s="28"/>
      <c r="E85" s="28"/>
    </row>
    <row r="86" spans="1:15">
      <c r="C86" s="28"/>
      <c r="D86" s="28"/>
      <c r="E86" s="28"/>
    </row>
    <row r="87" spans="1:15">
      <c r="C87" s="28"/>
      <c r="D87" s="28"/>
      <c r="E87" s="28"/>
    </row>
    <row r="88" spans="1:15">
      <c r="C88" s="28"/>
      <c r="D88" s="28"/>
      <c r="E88" s="28"/>
    </row>
    <row r="89" spans="1:15">
      <c r="C89" s="28"/>
      <c r="D89" s="28"/>
      <c r="E89" s="28"/>
    </row>
    <row r="90" spans="1:15">
      <c r="C90" s="28"/>
      <c r="D90" s="28"/>
      <c r="E90" s="28"/>
    </row>
    <row r="91" spans="1:15">
      <c r="C91" s="28"/>
      <c r="D91" s="28"/>
      <c r="E91" s="28"/>
    </row>
    <row r="92" spans="1:15">
      <c r="C92" s="28"/>
      <c r="D92" s="28"/>
      <c r="E92" s="28"/>
    </row>
    <row r="93" spans="1:15">
      <c r="C93" s="28"/>
      <c r="D93" s="28"/>
      <c r="E93" s="28"/>
    </row>
    <row r="94" spans="1:15">
      <c r="C94" s="28"/>
      <c r="D94" s="28"/>
      <c r="E94" s="28"/>
    </row>
    <row r="95" spans="1:15">
      <c r="C95" s="28"/>
      <c r="D95" s="28"/>
      <c r="E95" s="28"/>
    </row>
    <row r="96" spans="1:15">
      <c r="C96" s="28"/>
      <c r="D96" s="28"/>
      <c r="E96" s="28"/>
    </row>
    <row r="97" spans="3:5">
      <c r="C97" s="28"/>
      <c r="D97" s="28"/>
      <c r="E97" s="28"/>
    </row>
    <row r="98" spans="3:5">
      <c r="C98" s="28"/>
      <c r="D98" s="28"/>
      <c r="E98" s="28"/>
    </row>
  </sheetData>
  <mergeCells count="297">
    <mergeCell ref="N1:O1"/>
    <mergeCell ref="N2:O2"/>
    <mergeCell ref="A3:O3"/>
    <mergeCell ref="A4:O4"/>
    <mergeCell ref="N21:O21"/>
    <mergeCell ref="J22:K22"/>
    <mergeCell ref="D20:E20"/>
    <mergeCell ref="A20:C20"/>
    <mergeCell ref="A21:C21"/>
    <mergeCell ref="A22:C22"/>
    <mergeCell ref="A6:O6"/>
    <mergeCell ref="L22:M22"/>
    <mergeCell ref="J19:K19"/>
    <mergeCell ref="L19:M19"/>
    <mergeCell ref="J20:K20"/>
    <mergeCell ref="J21:K21"/>
    <mergeCell ref="L21:M21"/>
    <mergeCell ref="A10:O10"/>
    <mergeCell ref="A11:O11"/>
    <mergeCell ref="A12:O12"/>
    <mergeCell ref="A5:O5"/>
    <mergeCell ref="A7:O7"/>
    <mergeCell ref="F19:G19"/>
    <mergeCell ref="H19:I19"/>
    <mergeCell ref="A9:O9"/>
    <mergeCell ref="F20:G20"/>
    <mergeCell ref="H20:I20"/>
    <mergeCell ref="H21:I21"/>
    <mergeCell ref="L20:M20"/>
    <mergeCell ref="D21:E21"/>
    <mergeCell ref="D23:E23"/>
    <mergeCell ref="A23:C23"/>
    <mergeCell ref="D22:E22"/>
    <mergeCell ref="A13:O13"/>
    <mergeCell ref="D19:E19"/>
    <mergeCell ref="A19:C19"/>
    <mergeCell ref="A16:O16"/>
    <mergeCell ref="A14:O14"/>
    <mergeCell ref="A15:O15"/>
    <mergeCell ref="F21:G21"/>
    <mergeCell ref="H22:I22"/>
    <mergeCell ref="F23:G23"/>
    <mergeCell ref="H23:I23"/>
    <mergeCell ref="J23:K23"/>
    <mergeCell ref="N22:O22"/>
    <mergeCell ref="N23:O23"/>
    <mergeCell ref="A24:C24"/>
    <mergeCell ref="D28:E28"/>
    <mergeCell ref="D24:E24"/>
    <mergeCell ref="D25:E25"/>
    <mergeCell ref="A26:C26"/>
    <mergeCell ref="J26:K26"/>
    <mergeCell ref="F28:G28"/>
    <mergeCell ref="H25:I25"/>
    <mergeCell ref="H27:I27"/>
    <mergeCell ref="J24:K24"/>
    <mergeCell ref="A25:C25"/>
    <mergeCell ref="A27:C27"/>
    <mergeCell ref="H65:J65"/>
    <mergeCell ref="F65:G65"/>
    <mergeCell ref="H73:I73"/>
    <mergeCell ref="H67:J67"/>
    <mergeCell ref="A70:O70"/>
    <mergeCell ref="A57:C57"/>
    <mergeCell ref="F64:G64"/>
    <mergeCell ref="F66:G66"/>
    <mergeCell ref="D62:E62"/>
    <mergeCell ref="F62:G62"/>
    <mergeCell ref="D64:E64"/>
    <mergeCell ref="A58:C58"/>
    <mergeCell ref="B64:C64"/>
    <mergeCell ref="B66:C66"/>
    <mergeCell ref="D66:E66"/>
    <mergeCell ref="K62:L62"/>
    <mergeCell ref="K64:L64"/>
    <mergeCell ref="H63:J63"/>
    <mergeCell ref="K65:L65"/>
    <mergeCell ref="K63:L63"/>
    <mergeCell ref="M64:O64"/>
    <mergeCell ref="H62:J62"/>
    <mergeCell ref="M62:O62"/>
    <mergeCell ref="A72:C73"/>
    <mergeCell ref="L36:M36"/>
    <mergeCell ref="N36:O36"/>
    <mergeCell ref="A53:C53"/>
    <mergeCell ref="B47:E47"/>
    <mergeCell ref="B48:E48"/>
    <mergeCell ref="A40:O40"/>
    <mergeCell ref="F42:O42"/>
    <mergeCell ref="B45:E45"/>
    <mergeCell ref="B42:E42"/>
    <mergeCell ref="A38:O38"/>
    <mergeCell ref="F45:O45"/>
    <mergeCell ref="G51:I51"/>
    <mergeCell ref="F48:O48"/>
    <mergeCell ref="M51:O51"/>
    <mergeCell ref="F43:O43"/>
    <mergeCell ref="B43:E43"/>
    <mergeCell ref="A51:C52"/>
    <mergeCell ref="A49:J49"/>
    <mergeCell ref="D51:F51"/>
    <mergeCell ref="J51:L51"/>
    <mergeCell ref="B44:E44"/>
    <mergeCell ref="F44:O44"/>
    <mergeCell ref="F46:O46"/>
    <mergeCell ref="B46:E46"/>
    <mergeCell ref="L84:M84"/>
    <mergeCell ref="J76:K76"/>
    <mergeCell ref="L76:M76"/>
    <mergeCell ref="L81:M81"/>
    <mergeCell ref="L82:M82"/>
    <mergeCell ref="L80:M80"/>
    <mergeCell ref="L73:M73"/>
    <mergeCell ref="F73:G73"/>
    <mergeCell ref="J73:K73"/>
    <mergeCell ref="H76:I76"/>
    <mergeCell ref="J74:K74"/>
    <mergeCell ref="H74:I74"/>
    <mergeCell ref="F76:G76"/>
    <mergeCell ref="F74:G74"/>
    <mergeCell ref="J84:K84"/>
    <mergeCell ref="L83:M83"/>
    <mergeCell ref="F77:G77"/>
    <mergeCell ref="H77:I77"/>
    <mergeCell ref="H83:I83"/>
    <mergeCell ref="H82:I82"/>
    <mergeCell ref="J78:K78"/>
    <mergeCell ref="F83:G83"/>
    <mergeCell ref="F84:G84"/>
    <mergeCell ref="H84:I84"/>
    <mergeCell ref="N84:O84"/>
    <mergeCell ref="N81:O81"/>
    <mergeCell ref="N82:O82"/>
    <mergeCell ref="N83:O83"/>
    <mergeCell ref="L35:M35"/>
    <mergeCell ref="A60:O60"/>
    <mergeCell ref="M67:O67"/>
    <mergeCell ref="K67:L67"/>
    <mergeCell ref="A36:C36"/>
    <mergeCell ref="J35:K35"/>
    <mergeCell ref="D35:E35"/>
    <mergeCell ref="H35:I35"/>
    <mergeCell ref="L74:M74"/>
    <mergeCell ref="K68:L68"/>
    <mergeCell ref="D65:E65"/>
    <mergeCell ref="B63:C63"/>
    <mergeCell ref="F63:G63"/>
    <mergeCell ref="B68:C68"/>
    <mergeCell ref="H68:J68"/>
    <mergeCell ref="B65:C65"/>
    <mergeCell ref="D63:E63"/>
    <mergeCell ref="J72:M72"/>
    <mergeCell ref="N75:O75"/>
    <mergeCell ref="N79:O79"/>
    <mergeCell ref="N74:O74"/>
    <mergeCell ref="J83:K83"/>
    <mergeCell ref="K66:L66"/>
    <mergeCell ref="H66:J66"/>
    <mergeCell ref="J79:K79"/>
    <mergeCell ref="N80:O80"/>
    <mergeCell ref="L75:M75"/>
    <mergeCell ref="L77:M77"/>
    <mergeCell ref="L78:M78"/>
    <mergeCell ref="J77:K77"/>
    <mergeCell ref="J80:K80"/>
    <mergeCell ref="H81:I81"/>
    <mergeCell ref="H79:I79"/>
    <mergeCell ref="M66:O66"/>
    <mergeCell ref="M68:O68"/>
    <mergeCell ref="F72:I72"/>
    <mergeCell ref="N72:O73"/>
    <mergeCell ref="F67:G67"/>
    <mergeCell ref="F68:G68"/>
    <mergeCell ref="J81:K81"/>
    <mergeCell ref="J82:K82"/>
    <mergeCell ref="F81:G81"/>
    <mergeCell ref="F82:G82"/>
    <mergeCell ref="F80:G80"/>
    <mergeCell ref="N76:O76"/>
    <mergeCell ref="N77:O77"/>
    <mergeCell ref="L79:M79"/>
    <mergeCell ref="N78:O78"/>
    <mergeCell ref="A77:C77"/>
    <mergeCell ref="D76:E76"/>
    <mergeCell ref="F75:G75"/>
    <mergeCell ref="H75:I75"/>
    <mergeCell ref="J75:K75"/>
    <mergeCell ref="A78:C78"/>
    <mergeCell ref="F79:G79"/>
    <mergeCell ref="D84:E84"/>
    <mergeCell ref="D83:E83"/>
    <mergeCell ref="A81:C81"/>
    <mergeCell ref="A83:C83"/>
    <mergeCell ref="D82:E82"/>
    <mergeCell ref="D81:E81"/>
    <mergeCell ref="A34:C34"/>
    <mergeCell ref="A84:C84"/>
    <mergeCell ref="A75:C75"/>
    <mergeCell ref="D78:E78"/>
    <mergeCell ref="A76:C76"/>
    <mergeCell ref="D34:E34"/>
    <mergeCell ref="D36:E36"/>
    <mergeCell ref="A35:C35"/>
    <mergeCell ref="A79:C79"/>
    <mergeCell ref="D80:E80"/>
    <mergeCell ref="A80:C80"/>
    <mergeCell ref="B67:C67"/>
    <mergeCell ref="A56:C56"/>
    <mergeCell ref="A54:C54"/>
    <mergeCell ref="A55:C55"/>
    <mergeCell ref="B62:C62"/>
    <mergeCell ref="D79:E79"/>
    <mergeCell ref="A74:C74"/>
    <mergeCell ref="J31:K31"/>
    <mergeCell ref="A82:C82"/>
    <mergeCell ref="D67:E67"/>
    <mergeCell ref="D72:E73"/>
    <mergeCell ref="D68:E68"/>
    <mergeCell ref="D77:E77"/>
    <mergeCell ref="D74:E74"/>
    <mergeCell ref="D75:E75"/>
    <mergeCell ref="A31:C31"/>
    <mergeCell ref="A32:C32"/>
    <mergeCell ref="H78:I78"/>
    <mergeCell ref="F78:G78"/>
    <mergeCell ref="H80:I80"/>
    <mergeCell ref="A33:C33"/>
    <mergeCell ref="D33:E33"/>
    <mergeCell ref="J36:K36"/>
    <mergeCell ref="H36:I36"/>
    <mergeCell ref="F34:G34"/>
    <mergeCell ref="F36:G36"/>
    <mergeCell ref="F47:O47"/>
    <mergeCell ref="H64:J64"/>
    <mergeCell ref="M65:O65"/>
    <mergeCell ref="M63:O63"/>
    <mergeCell ref="F35:G35"/>
    <mergeCell ref="D32:E32"/>
    <mergeCell ref="H30:I30"/>
    <mergeCell ref="N32:O32"/>
    <mergeCell ref="D31:E31"/>
    <mergeCell ref="F31:G31"/>
    <mergeCell ref="J30:K30"/>
    <mergeCell ref="N30:O30"/>
    <mergeCell ref="N35:O35"/>
    <mergeCell ref="L33:M33"/>
    <mergeCell ref="F33:G33"/>
    <mergeCell ref="N31:O31"/>
    <mergeCell ref="N33:O33"/>
    <mergeCell ref="J33:K33"/>
    <mergeCell ref="J34:K34"/>
    <mergeCell ref="N34:O34"/>
    <mergeCell ref="L34:M34"/>
    <mergeCell ref="H34:I34"/>
    <mergeCell ref="H31:I31"/>
    <mergeCell ref="L32:M32"/>
    <mergeCell ref="L31:M31"/>
    <mergeCell ref="H33:I33"/>
    <mergeCell ref="F32:G32"/>
    <mergeCell ref="H32:I32"/>
    <mergeCell ref="J32:K32"/>
    <mergeCell ref="L29:M29"/>
    <mergeCell ref="J28:K28"/>
    <mergeCell ref="N29:O29"/>
    <mergeCell ref="F29:G29"/>
    <mergeCell ref="L28:M28"/>
    <mergeCell ref="A30:C30"/>
    <mergeCell ref="L30:M30"/>
    <mergeCell ref="J27:K27"/>
    <mergeCell ref="H26:I26"/>
    <mergeCell ref="L27:M27"/>
    <mergeCell ref="A29:C29"/>
    <mergeCell ref="A28:C28"/>
    <mergeCell ref="D29:E29"/>
    <mergeCell ref="J29:K29"/>
    <mergeCell ref="D30:E30"/>
    <mergeCell ref="H29:I29"/>
    <mergeCell ref="H28:I28"/>
    <mergeCell ref="F30:G30"/>
    <mergeCell ref="D26:E26"/>
    <mergeCell ref="D27:E27"/>
    <mergeCell ref="N24:O24"/>
    <mergeCell ref="L23:M23"/>
    <mergeCell ref="L24:M24"/>
    <mergeCell ref="F25:G25"/>
    <mergeCell ref="N28:O28"/>
    <mergeCell ref="F22:G22"/>
    <mergeCell ref="N25:O25"/>
    <mergeCell ref="N26:O26"/>
    <mergeCell ref="N27:O27"/>
    <mergeCell ref="F26:G26"/>
    <mergeCell ref="F27:G27"/>
    <mergeCell ref="F24:G24"/>
    <mergeCell ref="H24:I24"/>
    <mergeCell ref="J25:K25"/>
    <mergeCell ref="L25:M25"/>
    <mergeCell ref="L26:M26"/>
  </mergeCells>
  <phoneticPr fontId="3" type="noConversion"/>
  <pageMargins left="0.78740157480314965" right="0.39370078740157483" top="0.47244094488188981" bottom="0.19685039370078741" header="0.19685039370078741" footer="0.11811023622047245"/>
  <pageSetup paperSize="9" scale="50" orientation="landscape" horizontalDpi="1200" verticalDpi="1200" r:id="rId1"/>
  <headerFooter alignWithMargins="0">
    <oddHeader xml:space="preserve">&amp;C
&amp;"Times New Roman,обычный"&amp;16 11&amp;R&amp;"Times New Roman,обычный"&amp;14
Продовження додатка 3
Таблиця 6  </oddHeader>
  </headerFooter>
  <rowBreaks count="1" manualBreakCount="1">
    <brk id="39" max="14" man="1"/>
  </rowBreaks>
  <ignoredErrors>
    <ignoredError sqref="M54:M58" evalError="1"/>
    <ignoredError sqref="D58 F58:G5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AF130"/>
  <sheetViews>
    <sheetView showZeros="0" view="pageBreakPreview" topLeftCell="A3" zoomScale="75" zoomScaleNormal="60" workbookViewId="0">
      <selection activeCell="N9" sqref="N9:P9"/>
    </sheetView>
  </sheetViews>
  <sheetFormatPr defaultRowHeight="18.75" outlineLevelRow="1"/>
  <cols>
    <col min="1" max="1" width="7.140625" style="1" customWidth="1"/>
    <col min="2" max="2" width="4.42578125" style="1" customWidth="1"/>
    <col min="3" max="3" width="28.7109375" style="1" customWidth="1"/>
    <col min="4" max="6" width="8.42578125" style="1" customWidth="1"/>
    <col min="7" max="9" width="11.28515625" style="1" customWidth="1"/>
    <col min="10" max="10" width="8.7109375" style="1" customWidth="1"/>
    <col min="11" max="11" width="7" style="1" customWidth="1"/>
    <col min="12" max="12" width="9" style="1" customWidth="1"/>
    <col min="13" max="13" width="12.28515625" style="1" customWidth="1"/>
    <col min="14" max="14" width="12.5703125" style="1" customWidth="1"/>
    <col min="15" max="15" width="14.5703125" style="1" customWidth="1"/>
    <col min="16" max="16" width="14" style="1" customWidth="1"/>
    <col min="17" max="17" width="12.5703125" style="1" customWidth="1"/>
    <col min="18" max="18" width="12.28515625" style="1" customWidth="1"/>
    <col min="19" max="19" width="14.5703125" style="1" customWidth="1"/>
    <col min="20" max="20" width="14" style="1" customWidth="1"/>
    <col min="21" max="21" width="12.5703125" style="1" customWidth="1"/>
    <col min="22" max="22" width="12.28515625" style="1" customWidth="1"/>
    <col min="23" max="23" width="14.85546875" style="1" customWidth="1"/>
    <col min="24" max="24" width="14" style="1" customWidth="1"/>
    <col min="25" max="25" width="12.5703125" style="1" customWidth="1"/>
    <col min="26" max="26" width="12.28515625" style="1" customWidth="1"/>
    <col min="27" max="27" width="14.5703125" style="1" customWidth="1"/>
    <col min="28" max="28" width="13.7109375" style="1" customWidth="1"/>
    <col min="29" max="29" width="12.28515625" style="1" customWidth="1"/>
    <col min="30" max="30" width="12" style="1" customWidth="1"/>
    <col min="31" max="31" width="14.5703125" style="1" customWidth="1"/>
    <col min="32" max="32" width="14" style="1" customWidth="1"/>
    <col min="33" max="16384" width="9.140625" style="1"/>
  </cols>
  <sheetData>
    <row r="1" spans="1:32" ht="18.75" hidden="1" customHeight="1" outlineLevel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R1" s="27"/>
      <c r="S1" s="27"/>
      <c r="T1" s="27"/>
      <c r="U1" s="27"/>
      <c r="V1" s="27"/>
      <c r="AD1" s="425" t="s">
        <v>202</v>
      </c>
      <c r="AE1" s="425"/>
      <c r="AF1" s="425"/>
    </row>
    <row r="2" spans="1:32" ht="18.75" hidden="1" customHeight="1" outlineLevel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R2" s="27"/>
      <c r="S2" s="27"/>
      <c r="T2" s="27"/>
      <c r="U2" s="27"/>
      <c r="V2" s="27"/>
      <c r="AD2" s="425"/>
      <c r="AE2" s="425"/>
      <c r="AF2" s="425"/>
    </row>
    <row r="3" spans="1:32" ht="24.95" customHeight="1" collapsed="1">
      <c r="C3" s="41" t="s">
        <v>551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ht="24.9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ht="26.25" customHeight="1">
      <c r="A5" s="462" t="s">
        <v>61</v>
      </c>
      <c r="B5" s="472" t="s">
        <v>160</v>
      </c>
      <c r="C5" s="473"/>
      <c r="D5" s="407" t="s">
        <v>161</v>
      </c>
      <c r="E5" s="408"/>
      <c r="F5" s="408"/>
      <c r="G5" s="327" t="s">
        <v>286</v>
      </c>
      <c r="H5" s="327"/>
      <c r="I5" s="327"/>
      <c r="J5" s="327"/>
      <c r="K5" s="327"/>
      <c r="L5" s="327"/>
      <c r="M5" s="327"/>
      <c r="N5" s="327" t="s">
        <v>162</v>
      </c>
      <c r="O5" s="327"/>
      <c r="P5" s="327"/>
      <c r="Q5" s="327"/>
      <c r="R5" s="327"/>
      <c r="S5" s="327"/>
      <c r="T5" s="327"/>
      <c r="U5" s="327"/>
      <c r="V5" s="327"/>
      <c r="W5" s="407" t="s">
        <v>555</v>
      </c>
      <c r="X5" s="408"/>
      <c r="Y5" s="409"/>
      <c r="Z5" s="407" t="s">
        <v>556</v>
      </c>
      <c r="AA5" s="408"/>
      <c r="AB5" s="409"/>
      <c r="AC5" s="329"/>
      <c r="AD5" s="2"/>
      <c r="AE5" s="2"/>
      <c r="AF5" s="2"/>
    </row>
    <row r="6" spans="1:32" ht="43.5" customHeight="1">
      <c r="A6" s="463"/>
      <c r="B6" s="474"/>
      <c r="C6" s="475"/>
      <c r="D6" s="466"/>
      <c r="E6" s="467"/>
      <c r="F6" s="467"/>
      <c r="G6" s="348"/>
      <c r="H6" s="348"/>
      <c r="I6" s="327"/>
      <c r="J6" s="327"/>
      <c r="K6" s="327"/>
      <c r="L6" s="327"/>
      <c r="M6" s="327"/>
      <c r="N6" s="327" t="s">
        <v>552</v>
      </c>
      <c r="O6" s="327"/>
      <c r="P6" s="327"/>
      <c r="Q6" s="327" t="s">
        <v>553</v>
      </c>
      <c r="R6" s="327"/>
      <c r="S6" s="327"/>
      <c r="T6" s="327" t="s">
        <v>554</v>
      </c>
      <c r="U6" s="327"/>
      <c r="V6" s="327"/>
      <c r="W6" s="410"/>
      <c r="X6" s="411"/>
      <c r="Y6" s="412"/>
      <c r="Z6" s="410"/>
      <c r="AA6" s="411"/>
      <c r="AB6" s="412"/>
      <c r="AC6" s="329"/>
      <c r="AD6" s="2"/>
      <c r="AE6" s="2"/>
      <c r="AF6" s="2"/>
    </row>
    <row r="7" spans="1:32" ht="18.75" customHeight="1">
      <c r="A7" s="206">
        <v>1</v>
      </c>
      <c r="B7" s="464">
        <v>2</v>
      </c>
      <c r="C7" s="465"/>
      <c r="D7" s="520">
        <v>3</v>
      </c>
      <c r="E7" s="521"/>
      <c r="F7" s="521"/>
      <c r="G7" s="348">
        <v>4</v>
      </c>
      <c r="H7" s="348"/>
      <c r="I7" s="422"/>
      <c r="J7" s="422"/>
      <c r="K7" s="422"/>
      <c r="L7" s="422"/>
      <c r="M7" s="422"/>
      <c r="N7" s="422">
        <v>5</v>
      </c>
      <c r="O7" s="422"/>
      <c r="P7" s="422"/>
      <c r="Q7" s="422">
        <v>6</v>
      </c>
      <c r="R7" s="422"/>
      <c r="S7" s="422"/>
      <c r="T7" s="422">
        <v>7</v>
      </c>
      <c r="U7" s="422">
        <v>7</v>
      </c>
      <c r="V7" s="422"/>
      <c r="W7" s="534">
        <v>8</v>
      </c>
      <c r="X7" s="535"/>
      <c r="Y7" s="496"/>
      <c r="Z7" s="422">
        <v>9</v>
      </c>
      <c r="AA7" s="422"/>
      <c r="AB7" s="422"/>
      <c r="AC7" s="152"/>
      <c r="AD7" s="430"/>
      <c r="AE7" s="430"/>
      <c r="AF7" s="430"/>
    </row>
    <row r="8" spans="1:32" ht="57" customHeight="1">
      <c r="A8" s="206">
        <v>1</v>
      </c>
      <c r="B8" s="468" t="s">
        <v>655</v>
      </c>
      <c r="C8" s="469"/>
      <c r="D8" s="470">
        <v>1999</v>
      </c>
      <c r="E8" s="471"/>
      <c r="F8" s="471"/>
      <c r="G8" s="494" t="s">
        <v>381</v>
      </c>
      <c r="H8" s="494"/>
      <c r="I8" s="495"/>
      <c r="J8" s="495"/>
      <c r="K8" s="495"/>
      <c r="L8" s="495"/>
      <c r="M8" s="495"/>
      <c r="N8" s="493">
        <v>340.7</v>
      </c>
      <c r="O8" s="493"/>
      <c r="P8" s="493"/>
      <c r="Q8" s="375">
        <f>-'I. Фін результат'!E56</f>
        <v>298.60000000000002</v>
      </c>
      <c r="R8" s="375"/>
      <c r="S8" s="375"/>
      <c r="T8" s="375">
        <f>-'I. Фін результат'!F56</f>
        <v>389</v>
      </c>
      <c r="U8" s="375"/>
      <c r="V8" s="375"/>
      <c r="W8" s="375">
        <f>T8-Q8</f>
        <v>90.399999999999977</v>
      </c>
      <c r="X8" s="375"/>
      <c r="Y8" s="375"/>
      <c r="Z8" s="531">
        <f>T8/Q8*100</f>
        <v>130.27461486939046</v>
      </c>
      <c r="AA8" s="532"/>
      <c r="AB8" s="533"/>
      <c r="AC8" s="157"/>
      <c r="AD8" s="529"/>
      <c r="AE8" s="530"/>
      <c r="AF8" s="530"/>
    </row>
    <row r="9" spans="1:32" ht="24.95" customHeight="1">
      <c r="A9" s="497" t="s">
        <v>63</v>
      </c>
      <c r="B9" s="498"/>
      <c r="C9" s="498"/>
      <c r="D9" s="498"/>
      <c r="E9" s="498"/>
      <c r="F9" s="498"/>
      <c r="G9" s="498"/>
      <c r="H9" s="498"/>
      <c r="I9" s="499"/>
      <c r="J9" s="499"/>
      <c r="K9" s="499"/>
      <c r="L9" s="499"/>
      <c r="M9" s="500"/>
      <c r="N9" s="485"/>
      <c r="O9" s="485"/>
      <c r="P9" s="485"/>
      <c r="Q9" s="485"/>
      <c r="R9" s="485"/>
      <c r="S9" s="485"/>
      <c r="T9" s="485"/>
      <c r="U9" s="485">
        <f>SUM(U8:W8)</f>
        <v>90.399999999999977</v>
      </c>
      <c r="V9" s="485"/>
      <c r="W9" s="536"/>
      <c r="X9" s="537"/>
      <c r="Y9" s="538"/>
      <c r="Z9" s="485"/>
      <c r="AA9" s="485"/>
      <c r="AB9" s="485"/>
      <c r="AC9" s="156"/>
      <c r="AD9" s="529"/>
      <c r="AE9" s="529"/>
      <c r="AF9" s="529"/>
    </row>
    <row r="10" spans="1:32" ht="11.25" customHeight="1">
      <c r="A10" s="207"/>
      <c r="B10" s="207"/>
      <c r="C10" s="207"/>
      <c r="D10" s="207"/>
      <c r="E10" s="207"/>
      <c r="F10" s="207"/>
      <c r="G10" s="207"/>
      <c r="H10" s="207"/>
      <c r="I10" s="22"/>
      <c r="J10" s="22"/>
      <c r="K10" s="22"/>
      <c r="L10" s="22"/>
      <c r="M10" s="2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155"/>
      <c r="AF10" s="155"/>
    </row>
    <row r="11" spans="1:32" ht="10.5" customHeight="1">
      <c r="A11" s="208"/>
      <c r="B11" s="208"/>
      <c r="C11" s="208"/>
      <c r="D11" s="208"/>
      <c r="E11" s="208"/>
      <c r="F11" s="208"/>
      <c r="G11" s="208"/>
      <c r="H11" s="208"/>
      <c r="I11" s="32"/>
      <c r="J11" s="32"/>
      <c r="K11" s="32"/>
      <c r="L11" s="32"/>
      <c r="M11" s="32"/>
      <c r="N11" s="34"/>
      <c r="O11" s="34"/>
      <c r="P11" s="34"/>
      <c r="Q11" s="34"/>
      <c r="R11" s="54"/>
      <c r="S11" s="54"/>
      <c r="T11" s="54"/>
      <c r="U11" s="54"/>
      <c r="V11" s="54"/>
      <c r="W11" s="54"/>
      <c r="X11" s="55"/>
      <c r="Y11" s="55"/>
      <c r="Z11" s="55"/>
      <c r="AA11" s="55"/>
      <c r="AB11" s="55"/>
      <c r="AC11" s="55"/>
      <c r="AD11" s="55"/>
      <c r="AE11" s="93"/>
      <c r="AF11" s="93"/>
    </row>
    <row r="12" spans="1:32" s="41" customFormat="1" ht="24.95" customHeight="1">
      <c r="A12" s="209"/>
      <c r="B12" s="209"/>
      <c r="C12" s="209" t="s">
        <v>559</v>
      </c>
      <c r="D12" s="209"/>
      <c r="E12" s="209"/>
      <c r="F12" s="209"/>
      <c r="G12" s="209"/>
      <c r="H12" s="209"/>
    </row>
    <row r="13" spans="1:32" s="41" customFormat="1" ht="24.95" customHeight="1">
      <c r="A13" s="209"/>
      <c r="B13" s="209"/>
      <c r="C13" s="209"/>
      <c r="D13" s="209"/>
      <c r="E13" s="209"/>
      <c r="F13" s="209"/>
      <c r="G13" s="209"/>
      <c r="H13" s="209"/>
    </row>
    <row r="14" spans="1:32" ht="19.5" customHeight="1">
      <c r="A14" s="501" t="s">
        <v>61</v>
      </c>
      <c r="B14" s="516" t="s">
        <v>163</v>
      </c>
      <c r="C14" s="517"/>
      <c r="D14" s="478" t="s">
        <v>160</v>
      </c>
      <c r="E14" s="479"/>
      <c r="F14" s="479"/>
      <c r="G14" s="480"/>
      <c r="H14" s="478" t="s">
        <v>286</v>
      </c>
      <c r="I14" s="408"/>
      <c r="J14" s="408"/>
      <c r="K14" s="408"/>
      <c r="L14" s="408"/>
      <c r="M14" s="408"/>
      <c r="N14" s="408"/>
      <c r="O14" s="408"/>
      <c r="P14" s="408"/>
      <c r="Q14" s="409"/>
      <c r="R14" s="407" t="s">
        <v>164</v>
      </c>
      <c r="S14" s="408"/>
      <c r="T14" s="408"/>
      <c r="U14" s="408"/>
      <c r="V14" s="409"/>
      <c r="W14" s="388" t="s">
        <v>162</v>
      </c>
      <c r="X14" s="389"/>
      <c r="Y14" s="389"/>
      <c r="Z14" s="389"/>
      <c r="AA14" s="389"/>
      <c r="AB14" s="389"/>
      <c r="AC14" s="71"/>
      <c r="AD14" s="71"/>
      <c r="AE14" s="71"/>
      <c r="AF14" s="70"/>
    </row>
    <row r="15" spans="1:32" ht="24.95" customHeight="1">
      <c r="A15" s="501"/>
      <c r="B15" s="516"/>
      <c r="C15" s="517"/>
      <c r="D15" s="478"/>
      <c r="E15" s="479"/>
      <c r="F15" s="479"/>
      <c r="G15" s="480"/>
      <c r="H15" s="511"/>
      <c r="I15" s="487"/>
      <c r="J15" s="487"/>
      <c r="K15" s="487"/>
      <c r="L15" s="487"/>
      <c r="M15" s="487"/>
      <c r="N15" s="487"/>
      <c r="O15" s="487"/>
      <c r="P15" s="487"/>
      <c r="Q15" s="488"/>
      <c r="R15" s="486"/>
      <c r="S15" s="487"/>
      <c r="T15" s="487"/>
      <c r="U15" s="487"/>
      <c r="V15" s="488"/>
      <c r="W15" s="407" t="s">
        <v>552</v>
      </c>
      <c r="X15" s="409"/>
      <c r="Y15" s="407" t="s">
        <v>553</v>
      </c>
      <c r="Z15" s="409"/>
      <c r="AA15" s="407" t="s">
        <v>554</v>
      </c>
      <c r="AB15" s="409"/>
      <c r="AC15" s="407" t="s">
        <v>557</v>
      </c>
      <c r="AD15" s="409"/>
      <c r="AE15" s="407" t="s">
        <v>558</v>
      </c>
      <c r="AF15" s="409"/>
    </row>
    <row r="16" spans="1:32" ht="24.95" customHeight="1">
      <c r="A16" s="502"/>
      <c r="B16" s="518"/>
      <c r="C16" s="519"/>
      <c r="D16" s="481"/>
      <c r="E16" s="482"/>
      <c r="F16" s="482"/>
      <c r="G16" s="483"/>
      <c r="H16" s="512"/>
      <c r="I16" s="487"/>
      <c r="J16" s="487"/>
      <c r="K16" s="487"/>
      <c r="L16" s="487"/>
      <c r="M16" s="487"/>
      <c r="N16" s="487"/>
      <c r="O16" s="487"/>
      <c r="P16" s="487"/>
      <c r="Q16" s="488"/>
      <c r="R16" s="486"/>
      <c r="S16" s="487"/>
      <c r="T16" s="487"/>
      <c r="U16" s="487"/>
      <c r="V16" s="488"/>
      <c r="W16" s="486"/>
      <c r="X16" s="488"/>
      <c r="Y16" s="486"/>
      <c r="Z16" s="488"/>
      <c r="AA16" s="486"/>
      <c r="AB16" s="488"/>
      <c r="AC16" s="486"/>
      <c r="AD16" s="488"/>
      <c r="AE16" s="486"/>
      <c r="AF16" s="488"/>
    </row>
    <row r="17" spans="1:32" ht="24.95" customHeight="1">
      <c r="A17" s="463"/>
      <c r="B17" s="474"/>
      <c r="C17" s="475"/>
      <c r="D17" s="466"/>
      <c r="E17" s="467"/>
      <c r="F17" s="467"/>
      <c r="G17" s="484"/>
      <c r="H17" s="513"/>
      <c r="I17" s="411"/>
      <c r="J17" s="411"/>
      <c r="K17" s="411"/>
      <c r="L17" s="411"/>
      <c r="M17" s="411"/>
      <c r="N17" s="411"/>
      <c r="O17" s="411"/>
      <c r="P17" s="411"/>
      <c r="Q17" s="412"/>
      <c r="R17" s="410"/>
      <c r="S17" s="411"/>
      <c r="T17" s="411"/>
      <c r="U17" s="411"/>
      <c r="V17" s="412"/>
      <c r="W17" s="410"/>
      <c r="X17" s="412"/>
      <c r="Y17" s="410"/>
      <c r="Z17" s="412"/>
      <c r="AA17" s="410"/>
      <c r="AB17" s="412"/>
      <c r="AC17" s="410"/>
      <c r="AD17" s="412"/>
      <c r="AE17" s="410"/>
      <c r="AF17" s="412"/>
    </row>
    <row r="18" spans="1:32" ht="20.100000000000001" customHeight="1">
      <c r="A18" s="193">
        <v>1</v>
      </c>
      <c r="B18" s="464">
        <v>2</v>
      </c>
      <c r="C18" s="465"/>
      <c r="D18" s="348">
        <v>3</v>
      </c>
      <c r="E18" s="348"/>
      <c r="F18" s="348"/>
      <c r="G18" s="348"/>
      <c r="H18" s="348">
        <v>4</v>
      </c>
      <c r="I18" s="496"/>
      <c r="J18" s="422"/>
      <c r="K18" s="422"/>
      <c r="L18" s="422"/>
      <c r="M18" s="422"/>
      <c r="N18" s="422"/>
      <c r="O18" s="422"/>
      <c r="P18" s="422"/>
      <c r="Q18" s="422"/>
      <c r="R18" s="422">
        <v>5</v>
      </c>
      <c r="S18" s="422"/>
      <c r="T18" s="422"/>
      <c r="U18" s="422"/>
      <c r="V18" s="422"/>
      <c r="W18" s="422">
        <v>6</v>
      </c>
      <c r="X18" s="422"/>
      <c r="Y18" s="526">
        <v>7</v>
      </c>
      <c r="Z18" s="526"/>
      <c r="AA18" s="526">
        <v>8</v>
      </c>
      <c r="AB18" s="526"/>
      <c r="AC18" s="526">
        <v>9</v>
      </c>
      <c r="AD18" s="526"/>
      <c r="AE18" s="526">
        <v>10</v>
      </c>
      <c r="AF18" s="526"/>
    </row>
    <row r="19" spans="1:32" ht="20.100000000000001" customHeight="1">
      <c r="A19" s="231"/>
      <c r="B19" s="514"/>
      <c r="C19" s="515"/>
      <c r="D19" s="503"/>
      <c r="E19" s="503"/>
      <c r="F19" s="503"/>
      <c r="G19" s="503"/>
      <c r="H19" s="489"/>
      <c r="I19" s="490"/>
      <c r="J19" s="490"/>
      <c r="K19" s="490"/>
      <c r="L19" s="490"/>
      <c r="M19" s="490"/>
      <c r="N19" s="490"/>
      <c r="O19" s="490"/>
      <c r="P19" s="490"/>
      <c r="Q19" s="490"/>
      <c r="R19" s="476"/>
      <c r="S19" s="476"/>
      <c r="T19" s="476"/>
      <c r="U19" s="476"/>
      <c r="V19" s="476"/>
      <c r="W19" s="448"/>
      <c r="X19" s="448"/>
      <c r="Y19" s="448"/>
      <c r="Z19" s="448"/>
      <c r="AA19" s="448"/>
      <c r="AB19" s="448"/>
      <c r="AC19" s="365">
        <f>AA19-Y19</f>
        <v>0</v>
      </c>
      <c r="AD19" s="365"/>
      <c r="AE19" s="454" t="e">
        <f>AA19/Y19*100</f>
        <v>#DIV/0!</v>
      </c>
      <c r="AF19" s="455"/>
    </row>
    <row r="20" spans="1:32" ht="20.100000000000001" customHeight="1">
      <c r="A20" s="83"/>
      <c r="B20" s="460"/>
      <c r="C20" s="461"/>
      <c r="D20" s="477"/>
      <c r="E20" s="477"/>
      <c r="F20" s="477"/>
      <c r="G20" s="477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76"/>
      <c r="S20" s="476"/>
      <c r="T20" s="476"/>
      <c r="U20" s="476"/>
      <c r="V20" s="476"/>
      <c r="W20" s="448"/>
      <c r="X20" s="448"/>
      <c r="Y20" s="448"/>
      <c r="Z20" s="448"/>
      <c r="AA20" s="448"/>
      <c r="AB20" s="448"/>
      <c r="AC20" s="365">
        <f>AA20-Y20</f>
        <v>0</v>
      </c>
      <c r="AD20" s="365"/>
      <c r="AE20" s="454" t="e">
        <f>AA20/Y20*100</f>
        <v>#DIV/0!</v>
      </c>
      <c r="AF20" s="455"/>
    </row>
    <row r="21" spans="1:32" ht="20.100000000000001" customHeight="1">
      <c r="A21" s="83"/>
      <c r="B21" s="460"/>
      <c r="C21" s="461"/>
      <c r="D21" s="477"/>
      <c r="E21" s="477"/>
      <c r="F21" s="477"/>
      <c r="G21" s="477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76"/>
      <c r="S21" s="476"/>
      <c r="T21" s="476"/>
      <c r="U21" s="476"/>
      <c r="V21" s="476"/>
      <c r="W21" s="448"/>
      <c r="X21" s="448"/>
      <c r="Y21" s="448"/>
      <c r="Z21" s="448"/>
      <c r="AA21" s="448"/>
      <c r="AB21" s="448"/>
      <c r="AC21" s="365">
        <f>AA21-Y21</f>
        <v>0</v>
      </c>
      <c r="AD21" s="365"/>
      <c r="AE21" s="454" t="e">
        <f>AA21/Y21*100</f>
        <v>#DIV/0!</v>
      </c>
      <c r="AF21" s="455"/>
    </row>
    <row r="22" spans="1:32" ht="24.95" customHeight="1">
      <c r="A22" s="528" t="s">
        <v>63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365">
        <f>SUM(W19:X21)</f>
        <v>0</v>
      </c>
      <c r="X22" s="365"/>
      <c r="Y22" s="365">
        <f>SUM(Y19:Z21)</f>
        <v>0</v>
      </c>
      <c r="Z22" s="365"/>
      <c r="AA22" s="365">
        <f>SUM(AA19:AB21)</f>
        <v>0</v>
      </c>
      <c r="AB22" s="365"/>
      <c r="AC22" s="365">
        <f>AA22-Y22</f>
        <v>0</v>
      </c>
      <c r="AD22" s="365"/>
      <c r="AE22" s="454" t="e">
        <f>AA22/Y22*100</f>
        <v>#DIV/0!</v>
      </c>
      <c r="AF22" s="455"/>
    </row>
    <row r="23" spans="1:3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R23" s="27"/>
      <c r="S23" s="27"/>
      <c r="T23" s="27"/>
      <c r="U23" s="27"/>
      <c r="V23" s="27"/>
      <c r="AF23" s="27"/>
    </row>
    <row r="24" spans="1:32" ht="16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R24" s="27"/>
      <c r="S24" s="27"/>
      <c r="T24" s="27"/>
      <c r="U24" s="27"/>
      <c r="V24" s="27"/>
      <c r="AF24" s="27"/>
    </row>
    <row r="25" spans="1:32" s="41" customFormat="1" ht="18.75" customHeight="1">
      <c r="C25" s="41" t="s">
        <v>176</v>
      </c>
    </row>
    <row r="26" spans="1:32">
      <c r="A26" s="24"/>
      <c r="B26" s="24"/>
      <c r="C26" s="24"/>
      <c r="D26" s="24"/>
      <c r="E26" s="24"/>
      <c r="F26" s="24"/>
      <c r="G26" s="24"/>
      <c r="H26" s="24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24"/>
      <c r="Z26" s="527"/>
      <c r="AA26" s="527"/>
      <c r="AB26" s="527"/>
      <c r="AD26" s="459" t="s">
        <v>193</v>
      </c>
      <c r="AE26" s="459"/>
      <c r="AF26" s="459"/>
    </row>
    <row r="27" spans="1:32" ht="24.95" customHeight="1">
      <c r="A27" s="462" t="s">
        <v>61</v>
      </c>
      <c r="B27" s="472" t="s">
        <v>213</v>
      </c>
      <c r="C27" s="504"/>
      <c r="D27" s="504"/>
      <c r="E27" s="504"/>
      <c r="F27" s="504"/>
      <c r="G27" s="504"/>
      <c r="H27" s="504"/>
      <c r="I27" s="504"/>
      <c r="J27" s="504"/>
      <c r="K27" s="504"/>
      <c r="L27" s="473"/>
      <c r="M27" s="456" t="s">
        <v>62</v>
      </c>
      <c r="N27" s="457"/>
      <c r="O27" s="457"/>
      <c r="P27" s="458"/>
      <c r="Q27" s="456" t="s">
        <v>92</v>
      </c>
      <c r="R27" s="457"/>
      <c r="S27" s="457"/>
      <c r="T27" s="458"/>
      <c r="U27" s="456" t="s">
        <v>255</v>
      </c>
      <c r="V27" s="457"/>
      <c r="W27" s="457"/>
      <c r="X27" s="458"/>
      <c r="Y27" s="456" t="s">
        <v>125</v>
      </c>
      <c r="Z27" s="457"/>
      <c r="AA27" s="457"/>
      <c r="AB27" s="458"/>
      <c r="AC27" s="456" t="s">
        <v>63</v>
      </c>
      <c r="AD27" s="457"/>
      <c r="AE27" s="457"/>
      <c r="AF27" s="458"/>
    </row>
    <row r="28" spans="1:32" ht="24.95" customHeight="1">
      <c r="A28" s="491"/>
      <c r="B28" s="505"/>
      <c r="C28" s="506"/>
      <c r="D28" s="506"/>
      <c r="E28" s="506"/>
      <c r="F28" s="506"/>
      <c r="G28" s="506"/>
      <c r="H28" s="506"/>
      <c r="I28" s="506"/>
      <c r="J28" s="506"/>
      <c r="K28" s="506"/>
      <c r="L28" s="507"/>
      <c r="M28" s="440" t="s">
        <v>208</v>
      </c>
      <c r="N28" s="440" t="s">
        <v>209</v>
      </c>
      <c r="O28" s="440" t="s">
        <v>237</v>
      </c>
      <c r="P28" s="440" t="s">
        <v>238</v>
      </c>
      <c r="Q28" s="440" t="s">
        <v>208</v>
      </c>
      <c r="R28" s="440" t="s">
        <v>209</v>
      </c>
      <c r="S28" s="440" t="s">
        <v>237</v>
      </c>
      <c r="T28" s="440" t="s">
        <v>238</v>
      </c>
      <c r="U28" s="440" t="s">
        <v>208</v>
      </c>
      <c r="V28" s="440" t="s">
        <v>209</v>
      </c>
      <c r="W28" s="440" t="s">
        <v>237</v>
      </c>
      <c r="X28" s="440" t="s">
        <v>238</v>
      </c>
      <c r="Y28" s="440" t="s">
        <v>208</v>
      </c>
      <c r="Z28" s="440" t="s">
        <v>209</v>
      </c>
      <c r="AA28" s="440" t="s">
        <v>237</v>
      </c>
      <c r="AB28" s="440" t="s">
        <v>238</v>
      </c>
      <c r="AC28" s="440" t="s">
        <v>208</v>
      </c>
      <c r="AD28" s="440" t="s">
        <v>209</v>
      </c>
      <c r="AE28" s="440" t="s">
        <v>237</v>
      </c>
      <c r="AF28" s="440" t="s">
        <v>238</v>
      </c>
    </row>
    <row r="29" spans="1:32" ht="24.95" customHeight="1">
      <c r="A29" s="492"/>
      <c r="B29" s="508"/>
      <c r="C29" s="509"/>
      <c r="D29" s="509"/>
      <c r="E29" s="509"/>
      <c r="F29" s="509"/>
      <c r="G29" s="509"/>
      <c r="H29" s="509"/>
      <c r="I29" s="509"/>
      <c r="J29" s="509"/>
      <c r="K29" s="509"/>
      <c r="L29" s="510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</row>
    <row r="30" spans="1:32" ht="18.75" customHeight="1">
      <c r="A30" s="91">
        <v>1</v>
      </c>
      <c r="B30" s="442">
        <v>2</v>
      </c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82">
        <v>3</v>
      </c>
      <c r="N30" s="82">
        <v>4</v>
      </c>
      <c r="O30" s="82">
        <v>5</v>
      </c>
      <c r="P30" s="82">
        <v>6</v>
      </c>
      <c r="Q30" s="82">
        <v>7</v>
      </c>
      <c r="R30" s="82">
        <v>8</v>
      </c>
      <c r="S30" s="82">
        <v>9</v>
      </c>
      <c r="T30" s="82">
        <v>10</v>
      </c>
      <c r="U30" s="82">
        <v>11</v>
      </c>
      <c r="V30" s="82">
        <v>12</v>
      </c>
      <c r="W30" s="82">
        <v>13</v>
      </c>
      <c r="X30" s="82">
        <v>14</v>
      </c>
      <c r="Y30" s="82">
        <v>15</v>
      </c>
      <c r="Z30" s="82">
        <v>16</v>
      </c>
      <c r="AA30" s="82">
        <v>17</v>
      </c>
      <c r="AB30" s="82">
        <v>18</v>
      </c>
      <c r="AC30" s="82">
        <v>19</v>
      </c>
      <c r="AD30" s="82">
        <v>20</v>
      </c>
      <c r="AE30" s="82">
        <v>21</v>
      </c>
      <c r="AF30" s="82">
        <v>22</v>
      </c>
    </row>
    <row r="31" spans="1:32" ht="18.75" customHeight="1">
      <c r="A31" s="123" t="s">
        <v>388</v>
      </c>
      <c r="B31" s="434" t="s">
        <v>389</v>
      </c>
      <c r="C31" s="435"/>
      <c r="D31" s="435"/>
      <c r="E31" s="435"/>
      <c r="F31" s="435"/>
      <c r="G31" s="435"/>
      <c r="H31" s="435"/>
      <c r="I31" s="435"/>
      <c r="J31" s="435"/>
      <c r="K31" s="435"/>
      <c r="L31" s="436"/>
      <c r="M31" s="82"/>
      <c r="N31" s="82"/>
      <c r="O31" s="101">
        <f>N31-M31</f>
        <v>0</v>
      </c>
      <c r="P31" s="100"/>
      <c r="Q31" s="82"/>
      <c r="R31" s="82"/>
      <c r="S31" s="99">
        <f>R31-Q31</f>
        <v>0</v>
      </c>
      <c r="T31" s="100"/>
      <c r="U31" s="115">
        <v>0</v>
      </c>
      <c r="V31" s="115">
        <f>V32</f>
        <v>0</v>
      </c>
      <c r="W31" s="111">
        <f>V31-U31</f>
        <v>0</v>
      </c>
      <c r="X31" s="100"/>
      <c r="Y31" s="82"/>
      <c r="Z31" s="82"/>
      <c r="AA31" s="99">
        <f>Z31-Y31</f>
        <v>0</v>
      </c>
      <c r="AB31" s="100"/>
      <c r="AC31" s="136">
        <f t="shared" ref="AC31:AD35" si="0">SUM(M31,Q31,U31,Y31)</f>
        <v>0</v>
      </c>
      <c r="AD31" s="136">
        <f t="shared" si="0"/>
        <v>0</v>
      </c>
      <c r="AE31" s="111">
        <f>AD31-AC31</f>
        <v>0</v>
      </c>
      <c r="AF31" s="100"/>
    </row>
    <row r="32" spans="1:32" ht="18.75" customHeight="1">
      <c r="A32" s="123"/>
      <c r="B32" s="431"/>
      <c r="C32" s="432"/>
      <c r="D32" s="432"/>
      <c r="E32" s="432"/>
      <c r="F32" s="432"/>
      <c r="G32" s="432"/>
      <c r="H32" s="432"/>
      <c r="I32" s="432"/>
      <c r="J32" s="432"/>
      <c r="K32" s="432"/>
      <c r="L32" s="433"/>
      <c r="M32" s="82"/>
      <c r="N32" s="82"/>
      <c r="O32" s="101"/>
      <c r="P32" s="100"/>
      <c r="Q32" s="82"/>
      <c r="R32" s="82"/>
      <c r="S32" s="99"/>
      <c r="T32" s="100"/>
      <c r="U32" s="115"/>
      <c r="V32" s="104"/>
      <c r="W32" s="111">
        <f>V32-U32</f>
        <v>0</v>
      </c>
      <c r="X32" s="100"/>
      <c r="Y32" s="82"/>
      <c r="Z32" s="82"/>
      <c r="AA32" s="99"/>
      <c r="AB32" s="100"/>
      <c r="AC32" s="136"/>
      <c r="AD32" s="136"/>
      <c r="AE32" s="111"/>
      <c r="AF32" s="100"/>
    </row>
    <row r="33" spans="1:32" s="14" customFormat="1" ht="18.75" customHeight="1">
      <c r="A33" s="123" t="s">
        <v>390</v>
      </c>
      <c r="B33" s="434" t="s">
        <v>391</v>
      </c>
      <c r="C33" s="435"/>
      <c r="D33" s="435"/>
      <c r="E33" s="435"/>
      <c r="F33" s="435"/>
      <c r="G33" s="435"/>
      <c r="H33" s="435"/>
      <c r="I33" s="435"/>
      <c r="J33" s="435"/>
      <c r="K33" s="435"/>
      <c r="L33" s="436"/>
      <c r="M33" s="115">
        <f>SUM(M34:M52)</f>
        <v>0</v>
      </c>
      <c r="N33" s="115">
        <f>SUM(N34:N52)</f>
        <v>0</v>
      </c>
      <c r="O33" s="185">
        <f>N33-M33</f>
        <v>0</v>
      </c>
      <c r="P33" s="184"/>
      <c r="Q33" s="115">
        <f>SUM(Q34:Q52)</f>
        <v>0</v>
      </c>
      <c r="R33" s="115">
        <f>SUM(R34:R52)</f>
        <v>0</v>
      </c>
      <c r="S33" s="186">
        <f>R33-Q33</f>
        <v>0</v>
      </c>
      <c r="T33" s="184"/>
      <c r="U33" s="115">
        <f>SUM(U34:U52)</f>
        <v>5140.2</v>
      </c>
      <c r="V33" s="115">
        <f>SUM(V34:V54)</f>
        <v>2510.6999999999998</v>
      </c>
      <c r="W33" s="181">
        <f>V33-U33</f>
        <v>-2629.5</v>
      </c>
      <c r="X33" s="184">
        <f>V33/U33*100</f>
        <v>48.844402941519782</v>
      </c>
      <c r="Y33" s="187">
        <f>SUM(Y34:Y52)</f>
        <v>0</v>
      </c>
      <c r="Z33" s="187">
        <f>SUM(Z34:Z52)</f>
        <v>0</v>
      </c>
      <c r="AA33" s="186">
        <f>Z33-Y33</f>
        <v>0</v>
      </c>
      <c r="AB33" s="184"/>
      <c r="AC33" s="136">
        <f t="shared" si="0"/>
        <v>5140.2</v>
      </c>
      <c r="AD33" s="136">
        <f t="shared" si="0"/>
        <v>2510.6999999999998</v>
      </c>
      <c r="AE33" s="181">
        <f>AD33-AC33</f>
        <v>-2629.5</v>
      </c>
      <c r="AF33" s="184">
        <f>AD33/AC33*100</f>
        <v>48.844402941519782</v>
      </c>
    </row>
    <row r="34" spans="1:32" ht="18.75" customHeight="1">
      <c r="A34" s="125" t="s">
        <v>402</v>
      </c>
      <c r="B34" s="431" t="s">
        <v>682</v>
      </c>
      <c r="C34" s="432"/>
      <c r="D34" s="432"/>
      <c r="E34" s="432"/>
      <c r="F34" s="432"/>
      <c r="G34" s="432"/>
      <c r="H34" s="432"/>
      <c r="I34" s="432"/>
      <c r="J34" s="432"/>
      <c r="K34" s="432"/>
      <c r="L34" s="433"/>
      <c r="M34" s="82"/>
      <c r="N34" s="82"/>
      <c r="O34" s="101"/>
      <c r="P34" s="100"/>
      <c r="Q34" s="189"/>
      <c r="R34" s="82"/>
      <c r="S34" s="99"/>
      <c r="T34" s="100"/>
      <c r="U34" s="104">
        <v>583.29999999999995</v>
      </c>
      <c r="V34" s="104"/>
      <c r="W34" s="111"/>
      <c r="X34" s="100"/>
      <c r="Y34" s="82"/>
      <c r="Z34" s="82"/>
      <c r="AA34" s="99"/>
      <c r="AB34" s="100"/>
      <c r="AC34" s="105">
        <f t="shared" si="0"/>
        <v>583.29999999999995</v>
      </c>
      <c r="AD34" s="105">
        <f t="shared" si="0"/>
        <v>0</v>
      </c>
      <c r="AE34" s="111">
        <f>AD34-AC34</f>
        <v>-583.29999999999995</v>
      </c>
      <c r="AF34" s="100"/>
    </row>
    <row r="35" spans="1:32" ht="18.75" customHeight="1">
      <c r="A35" s="125" t="s">
        <v>403</v>
      </c>
      <c r="B35" s="431" t="s">
        <v>683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82"/>
      <c r="N35" s="82"/>
      <c r="O35" s="101"/>
      <c r="P35" s="100"/>
      <c r="Q35" s="189"/>
      <c r="R35" s="82"/>
      <c r="S35" s="99"/>
      <c r="T35" s="100"/>
      <c r="U35" s="104">
        <v>333.3</v>
      </c>
      <c r="V35" s="104"/>
      <c r="W35" s="111">
        <f t="shared" ref="W35:W41" si="1">V35-U35</f>
        <v>-333.3</v>
      </c>
      <c r="X35" s="100"/>
      <c r="Y35" s="82"/>
      <c r="Z35" s="82"/>
      <c r="AA35" s="99"/>
      <c r="AB35" s="100"/>
      <c r="AC35" s="105">
        <f t="shared" si="0"/>
        <v>333.3</v>
      </c>
      <c r="AD35" s="105">
        <f t="shared" si="0"/>
        <v>0</v>
      </c>
      <c r="AE35" s="111">
        <f>AD35-AC35</f>
        <v>-333.3</v>
      </c>
      <c r="AF35" s="100"/>
    </row>
    <row r="36" spans="1:32" ht="18.75" customHeight="1">
      <c r="A36" s="125" t="s">
        <v>404</v>
      </c>
      <c r="B36" s="431" t="s">
        <v>684</v>
      </c>
      <c r="C36" s="432"/>
      <c r="D36" s="432"/>
      <c r="E36" s="432"/>
      <c r="F36" s="432"/>
      <c r="G36" s="432"/>
      <c r="H36" s="432"/>
      <c r="I36" s="432"/>
      <c r="J36" s="432"/>
      <c r="K36" s="432"/>
      <c r="L36" s="433"/>
      <c r="M36" s="82"/>
      <c r="N36" s="82"/>
      <c r="O36" s="101"/>
      <c r="P36" s="100"/>
      <c r="Q36" s="104"/>
      <c r="R36" s="82"/>
      <c r="S36" s="99"/>
      <c r="T36" s="100"/>
      <c r="U36" s="104">
        <v>666.7</v>
      </c>
      <c r="V36" s="104"/>
      <c r="W36" s="111">
        <f t="shared" si="1"/>
        <v>-666.7</v>
      </c>
      <c r="X36" s="100"/>
      <c r="Y36" s="82"/>
      <c r="Z36" s="82"/>
      <c r="AA36" s="99"/>
      <c r="AB36" s="100"/>
      <c r="AC36" s="105">
        <f>SUM(M36,Q36,U36,Y36)</f>
        <v>666.7</v>
      </c>
      <c r="AD36" s="105">
        <f t="shared" ref="AD36:AD62" si="2">SUM(N36,R36,V36,Z36)</f>
        <v>0</v>
      </c>
      <c r="AE36" s="111">
        <f t="shared" ref="AE36:AE62" si="3">AD36-AC36</f>
        <v>-666.7</v>
      </c>
      <c r="AF36" s="100"/>
    </row>
    <row r="37" spans="1:32" ht="18.75" customHeight="1">
      <c r="A37" s="125" t="s">
        <v>405</v>
      </c>
      <c r="B37" s="431" t="s">
        <v>685</v>
      </c>
      <c r="C37" s="432"/>
      <c r="D37" s="432"/>
      <c r="E37" s="432"/>
      <c r="F37" s="432"/>
      <c r="G37" s="432"/>
      <c r="H37" s="432"/>
      <c r="I37" s="432"/>
      <c r="J37" s="432"/>
      <c r="K37" s="432"/>
      <c r="L37" s="433"/>
      <c r="M37" s="82"/>
      <c r="N37" s="82"/>
      <c r="O37" s="101"/>
      <c r="P37" s="100"/>
      <c r="Q37" s="104"/>
      <c r="R37" s="82"/>
      <c r="S37" s="99"/>
      <c r="T37" s="100"/>
      <c r="U37" s="104">
        <v>1000</v>
      </c>
      <c r="V37" s="104"/>
      <c r="W37" s="111">
        <f t="shared" si="1"/>
        <v>-1000</v>
      </c>
      <c r="X37" s="100"/>
      <c r="Y37" s="82"/>
      <c r="Z37" s="82"/>
      <c r="AA37" s="99"/>
      <c r="AB37" s="100"/>
      <c r="AC37" s="105">
        <f>SUM(M37,Q37,U37,Y37)</f>
        <v>1000</v>
      </c>
      <c r="AD37" s="105">
        <f t="shared" si="2"/>
        <v>0</v>
      </c>
      <c r="AE37" s="111">
        <f t="shared" si="3"/>
        <v>-1000</v>
      </c>
      <c r="AF37" s="100"/>
    </row>
    <row r="38" spans="1:32" ht="18.75" customHeight="1">
      <c r="A38" s="125" t="s">
        <v>406</v>
      </c>
      <c r="B38" s="431" t="s">
        <v>686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3"/>
      <c r="M38" s="82"/>
      <c r="N38" s="82"/>
      <c r="O38" s="101"/>
      <c r="P38" s="100"/>
      <c r="Q38" s="104"/>
      <c r="R38" s="82"/>
      <c r="S38" s="99"/>
      <c r="T38" s="100"/>
      <c r="U38" s="104">
        <v>200</v>
      </c>
      <c r="V38" s="104"/>
      <c r="W38" s="111">
        <f t="shared" si="1"/>
        <v>-200</v>
      </c>
      <c r="X38" s="100"/>
      <c r="Y38" s="82"/>
      <c r="Z38" s="82"/>
      <c r="AA38" s="99"/>
      <c r="AB38" s="100"/>
      <c r="AC38" s="105">
        <f>SUM(M38,Q38,U38,Y38)</f>
        <v>200</v>
      </c>
      <c r="AD38" s="105">
        <f t="shared" si="2"/>
        <v>0</v>
      </c>
      <c r="AE38" s="111">
        <f t="shared" si="3"/>
        <v>-200</v>
      </c>
      <c r="AF38" s="100"/>
    </row>
    <row r="39" spans="1:32" ht="18.75" customHeight="1">
      <c r="A39" s="125" t="s">
        <v>407</v>
      </c>
      <c r="B39" s="431" t="s">
        <v>687</v>
      </c>
      <c r="C39" s="432"/>
      <c r="D39" s="432"/>
      <c r="E39" s="432"/>
      <c r="F39" s="432"/>
      <c r="G39" s="432"/>
      <c r="H39" s="432"/>
      <c r="I39" s="432"/>
      <c r="J39" s="432"/>
      <c r="K39" s="432"/>
      <c r="L39" s="433"/>
      <c r="M39" s="82"/>
      <c r="N39" s="82"/>
      <c r="O39" s="101"/>
      <c r="P39" s="100"/>
      <c r="Q39" s="104"/>
      <c r="R39" s="82"/>
      <c r="S39" s="99"/>
      <c r="T39" s="100"/>
      <c r="U39" s="104">
        <v>100</v>
      </c>
      <c r="V39" s="104"/>
      <c r="W39" s="111">
        <f t="shared" si="1"/>
        <v>-100</v>
      </c>
      <c r="X39" s="100"/>
      <c r="Y39" s="82"/>
      <c r="Z39" s="82"/>
      <c r="AA39" s="99"/>
      <c r="AB39" s="100"/>
      <c r="AC39" s="105">
        <f>SUM(M39,Q39,U39,Y39)</f>
        <v>100</v>
      </c>
      <c r="AD39" s="105">
        <f t="shared" si="2"/>
        <v>0</v>
      </c>
      <c r="AE39" s="111">
        <f t="shared" si="3"/>
        <v>-100</v>
      </c>
      <c r="AF39" s="100"/>
    </row>
    <row r="40" spans="1:32" ht="18.75" customHeight="1">
      <c r="A40" s="125" t="s">
        <v>408</v>
      </c>
      <c r="B40" s="431" t="s">
        <v>688</v>
      </c>
      <c r="C40" s="432"/>
      <c r="D40" s="432"/>
      <c r="E40" s="432"/>
      <c r="F40" s="432"/>
      <c r="G40" s="432"/>
      <c r="H40" s="432"/>
      <c r="I40" s="432"/>
      <c r="J40" s="432"/>
      <c r="K40" s="432"/>
      <c r="L40" s="433"/>
      <c r="M40" s="82"/>
      <c r="N40" s="82"/>
      <c r="O40" s="101"/>
      <c r="P40" s="100"/>
      <c r="Q40" s="104"/>
      <c r="R40" s="82"/>
      <c r="S40" s="99"/>
      <c r="T40" s="100"/>
      <c r="U40" s="104">
        <v>150</v>
      </c>
      <c r="V40" s="104"/>
      <c r="W40" s="111">
        <f t="shared" si="1"/>
        <v>-150</v>
      </c>
      <c r="X40" s="100"/>
      <c r="Y40" s="82"/>
      <c r="Z40" s="82"/>
      <c r="AA40" s="99"/>
      <c r="AB40" s="100"/>
      <c r="AC40" s="105">
        <f>SUM(M40,Q40,U40,Y40)</f>
        <v>150</v>
      </c>
      <c r="AD40" s="105">
        <f t="shared" si="2"/>
        <v>0</v>
      </c>
      <c r="AE40" s="111">
        <f t="shared" si="3"/>
        <v>-150</v>
      </c>
      <c r="AF40" s="100"/>
    </row>
    <row r="41" spans="1:32" ht="18.75" customHeight="1">
      <c r="A41" s="125" t="s">
        <v>409</v>
      </c>
      <c r="B41" s="431" t="s">
        <v>689</v>
      </c>
      <c r="C41" s="432"/>
      <c r="D41" s="432"/>
      <c r="E41" s="432"/>
      <c r="F41" s="432"/>
      <c r="G41" s="432"/>
      <c r="H41" s="432"/>
      <c r="I41" s="432"/>
      <c r="J41" s="432"/>
      <c r="K41" s="432"/>
      <c r="L41" s="433"/>
      <c r="M41" s="82"/>
      <c r="N41" s="82"/>
      <c r="O41" s="101"/>
      <c r="P41" s="100"/>
      <c r="Q41" s="104"/>
      <c r="R41" s="82"/>
      <c r="S41" s="99"/>
      <c r="T41" s="100"/>
      <c r="U41" s="104">
        <v>523.6</v>
      </c>
      <c r="V41" s="104">
        <f>13.4+90.2+91.3</f>
        <v>194.9</v>
      </c>
      <c r="W41" s="111">
        <f t="shared" si="1"/>
        <v>-328.70000000000005</v>
      </c>
      <c r="X41" s="100"/>
      <c r="Y41" s="82"/>
      <c r="Z41" s="82"/>
      <c r="AA41" s="99"/>
      <c r="AB41" s="100"/>
      <c r="AC41" s="105">
        <f>SUM(M41,U41,Y41)</f>
        <v>523.6</v>
      </c>
      <c r="AD41" s="105">
        <f t="shared" si="2"/>
        <v>194.9</v>
      </c>
      <c r="AE41" s="111">
        <f t="shared" si="3"/>
        <v>-328.70000000000005</v>
      </c>
      <c r="AF41" s="100">
        <f t="shared" ref="AF41:AF56" si="4">AD41/AC41*100</f>
        <v>37.22307104660046</v>
      </c>
    </row>
    <row r="42" spans="1:32" ht="18.75" customHeight="1">
      <c r="A42" s="125" t="s">
        <v>616</v>
      </c>
      <c r="B42" s="431" t="s">
        <v>690</v>
      </c>
      <c r="C42" s="432"/>
      <c r="D42" s="432"/>
      <c r="E42" s="432"/>
      <c r="F42" s="432"/>
      <c r="G42" s="432"/>
      <c r="H42" s="432"/>
      <c r="I42" s="432"/>
      <c r="J42" s="432"/>
      <c r="K42" s="432"/>
      <c r="L42" s="433"/>
      <c r="M42" s="82"/>
      <c r="N42" s="82"/>
      <c r="O42" s="101">
        <f>N42-M42</f>
        <v>0</v>
      </c>
      <c r="P42" s="100"/>
      <c r="Q42" s="104"/>
      <c r="R42" s="82"/>
      <c r="S42" s="99">
        <f>R42-Q41</f>
        <v>0</v>
      </c>
      <c r="T42" s="100"/>
      <c r="U42" s="104">
        <v>1583.3</v>
      </c>
      <c r="V42" s="104"/>
      <c r="W42" s="111">
        <f>V42-U42</f>
        <v>-1583.3</v>
      </c>
      <c r="X42" s="100"/>
      <c r="Y42" s="82"/>
      <c r="Z42" s="82"/>
      <c r="AA42" s="99">
        <f t="shared" ref="AA42:AA52" si="5">Z42-Y42</f>
        <v>0</v>
      </c>
      <c r="AB42" s="100"/>
      <c r="AC42" s="105">
        <f>SUM(M42,Q41,U42,Y42)</f>
        <v>1583.3</v>
      </c>
      <c r="AD42" s="105">
        <f t="shared" si="2"/>
        <v>0</v>
      </c>
      <c r="AE42" s="111">
        <f t="shared" si="3"/>
        <v>-1583.3</v>
      </c>
      <c r="AF42" s="100"/>
    </row>
    <row r="43" spans="1:32" ht="18.75" customHeight="1">
      <c r="A43" s="125" t="s">
        <v>617</v>
      </c>
      <c r="B43" s="431" t="s">
        <v>726</v>
      </c>
      <c r="C43" s="432"/>
      <c r="D43" s="432"/>
      <c r="E43" s="432"/>
      <c r="F43" s="432"/>
      <c r="G43" s="432"/>
      <c r="H43" s="432"/>
      <c r="I43" s="432"/>
      <c r="J43" s="432"/>
      <c r="K43" s="432"/>
      <c r="L43" s="433"/>
      <c r="M43" s="82"/>
      <c r="N43" s="82"/>
      <c r="O43" s="101">
        <f>N43-M43</f>
        <v>0</v>
      </c>
      <c r="P43" s="100"/>
      <c r="Q43" s="104"/>
      <c r="R43" s="82"/>
      <c r="S43" s="99">
        <f>R43-Q42</f>
        <v>0</v>
      </c>
      <c r="T43" s="100"/>
      <c r="U43" s="104"/>
      <c r="V43" s="104">
        <v>1983.3</v>
      </c>
      <c r="W43" s="111">
        <f>V43-U43</f>
        <v>1983.3</v>
      </c>
      <c r="X43" s="100"/>
      <c r="Y43" s="82"/>
      <c r="Z43" s="82"/>
      <c r="AA43" s="99">
        <f t="shared" si="5"/>
        <v>0</v>
      </c>
      <c r="AB43" s="100"/>
      <c r="AC43" s="105">
        <f>SUM(M43,Q42,U43,Y43)</f>
        <v>0</v>
      </c>
      <c r="AD43" s="105">
        <f t="shared" si="2"/>
        <v>1983.3</v>
      </c>
      <c r="AE43" s="111">
        <f t="shared" si="3"/>
        <v>1983.3</v>
      </c>
      <c r="AF43" s="100" t="e">
        <f t="shared" si="4"/>
        <v>#DIV/0!</v>
      </c>
    </row>
    <row r="44" spans="1:32" ht="18.75" customHeight="1">
      <c r="A44" s="125" t="s">
        <v>618</v>
      </c>
      <c r="B44" s="431" t="s">
        <v>727</v>
      </c>
      <c r="C44" s="432"/>
      <c r="D44" s="432"/>
      <c r="E44" s="432"/>
      <c r="F44" s="432"/>
      <c r="G44" s="432"/>
      <c r="H44" s="432"/>
      <c r="I44" s="432"/>
      <c r="J44" s="432"/>
      <c r="K44" s="432"/>
      <c r="L44" s="433"/>
      <c r="M44" s="82"/>
      <c r="N44" s="82"/>
      <c r="O44" s="101">
        <f>N44-M44</f>
        <v>0</v>
      </c>
      <c r="P44" s="100"/>
      <c r="Q44" s="104"/>
      <c r="R44" s="82"/>
      <c r="S44" s="99">
        <f>R44-Q43</f>
        <v>0</v>
      </c>
      <c r="T44" s="100"/>
      <c r="U44" s="104"/>
      <c r="V44" s="104">
        <v>332.5</v>
      </c>
      <c r="W44" s="111">
        <f>V44-U44</f>
        <v>332.5</v>
      </c>
      <c r="X44" s="100"/>
      <c r="Y44" s="82"/>
      <c r="Z44" s="82"/>
      <c r="AA44" s="99">
        <f t="shared" si="5"/>
        <v>0</v>
      </c>
      <c r="AB44" s="100"/>
      <c r="AC44" s="105">
        <f>SUM(M44,Q43,U44,Y44)</f>
        <v>0</v>
      </c>
      <c r="AD44" s="105">
        <f t="shared" si="2"/>
        <v>332.5</v>
      </c>
      <c r="AE44" s="111">
        <f t="shared" si="3"/>
        <v>332.5</v>
      </c>
      <c r="AF44" s="100" t="e">
        <f t="shared" si="4"/>
        <v>#DIV/0!</v>
      </c>
    </row>
    <row r="45" spans="1:32" ht="18.75" hidden="1" customHeight="1">
      <c r="A45" s="125" t="s">
        <v>619</v>
      </c>
      <c r="B45" s="431"/>
      <c r="C45" s="432"/>
      <c r="D45" s="432"/>
      <c r="E45" s="432"/>
      <c r="F45" s="432"/>
      <c r="G45" s="432"/>
      <c r="H45" s="432"/>
      <c r="I45" s="432"/>
      <c r="J45" s="432"/>
      <c r="K45" s="432"/>
      <c r="L45" s="433"/>
      <c r="M45" s="82"/>
      <c r="N45" s="82"/>
      <c r="O45" s="101"/>
      <c r="P45" s="100"/>
      <c r="Q45" s="104"/>
      <c r="R45" s="82"/>
      <c r="S45" s="99"/>
      <c r="T45" s="100"/>
      <c r="U45" s="104"/>
      <c r="V45" s="104"/>
      <c r="W45" s="111">
        <f>V45-U45</f>
        <v>0</v>
      </c>
      <c r="X45" s="100"/>
      <c r="Y45" s="82"/>
      <c r="Z45" s="82"/>
      <c r="AA45" s="99">
        <f t="shared" si="5"/>
        <v>0</v>
      </c>
      <c r="AB45" s="100"/>
      <c r="AC45" s="105">
        <f>SUM(M45,Q44,U45,Y45)</f>
        <v>0</v>
      </c>
      <c r="AD45" s="105">
        <f t="shared" si="2"/>
        <v>0</v>
      </c>
      <c r="AE45" s="111">
        <f t="shared" si="3"/>
        <v>0</v>
      </c>
      <c r="AF45" s="100" t="e">
        <f t="shared" si="4"/>
        <v>#DIV/0!</v>
      </c>
    </row>
    <row r="46" spans="1:32" ht="18.75" hidden="1" customHeight="1">
      <c r="A46" s="125" t="s">
        <v>620</v>
      </c>
      <c r="B46" s="431"/>
      <c r="C46" s="432"/>
      <c r="D46" s="432"/>
      <c r="E46" s="432"/>
      <c r="F46" s="432"/>
      <c r="G46" s="432"/>
      <c r="H46" s="432"/>
      <c r="I46" s="432"/>
      <c r="J46" s="432"/>
      <c r="K46" s="432"/>
      <c r="L46" s="433"/>
      <c r="M46" s="82"/>
      <c r="N46" s="82"/>
      <c r="O46" s="101"/>
      <c r="P46" s="100"/>
      <c r="R46" s="82"/>
      <c r="S46" s="99"/>
      <c r="T46" s="100"/>
      <c r="U46" s="104"/>
      <c r="V46" s="104"/>
      <c r="W46" s="111">
        <f>V46-U46</f>
        <v>0</v>
      </c>
      <c r="X46" s="100"/>
      <c r="Y46" s="82"/>
      <c r="Z46" s="82"/>
      <c r="AA46" s="99">
        <f t="shared" si="5"/>
        <v>0</v>
      </c>
      <c r="AB46" s="100"/>
      <c r="AC46" s="105">
        <f>SUM(M46,Q45,U46,Y46)</f>
        <v>0</v>
      </c>
      <c r="AD46" s="105">
        <f t="shared" si="2"/>
        <v>0</v>
      </c>
      <c r="AE46" s="111">
        <f t="shared" si="3"/>
        <v>0</v>
      </c>
      <c r="AF46" s="100" t="e">
        <f t="shared" si="4"/>
        <v>#DIV/0!</v>
      </c>
    </row>
    <row r="47" spans="1:32" ht="18.75" hidden="1" customHeight="1">
      <c r="A47" s="125" t="s">
        <v>621</v>
      </c>
      <c r="B47" s="431"/>
      <c r="C47" s="432"/>
      <c r="D47" s="432"/>
      <c r="E47" s="432"/>
      <c r="F47" s="432"/>
      <c r="G47" s="432"/>
      <c r="H47" s="432"/>
      <c r="I47" s="432"/>
      <c r="J47" s="432"/>
      <c r="K47" s="432"/>
      <c r="L47" s="433"/>
      <c r="M47" s="82"/>
      <c r="N47" s="82"/>
      <c r="O47" s="101"/>
      <c r="P47" s="100"/>
      <c r="Q47" s="82"/>
      <c r="R47" s="82"/>
      <c r="S47" s="99"/>
      <c r="T47" s="100"/>
      <c r="U47" s="104"/>
      <c r="V47" s="104"/>
      <c r="W47" s="111">
        <f t="shared" ref="W47:W62" si="6">V47-U47</f>
        <v>0</v>
      </c>
      <c r="X47" s="100"/>
      <c r="Y47" s="82"/>
      <c r="Z47" s="82"/>
      <c r="AA47" s="99">
        <f t="shared" si="5"/>
        <v>0</v>
      </c>
      <c r="AB47" s="100"/>
      <c r="AC47" s="105">
        <f t="shared" ref="AC47:AC56" si="7">SUM(M47,Q47,U47,Y47)</f>
        <v>0</v>
      </c>
      <c r="AD47" s="105">
        <f t="shared" si="2"/>
        <v>0</v>
      </c>
      <c r="AE47" s="111">
        <f t="shared" si="3"/>
        <v>0</v>
      </c>
      <c r="AF47" s="100" t="e">
        <f t="shared" si="4"/>
        <v>#DIV/0!</v>
      </c>
    </row>
    <row r="48" spans="1:32" ht="18.75" hidden="1" customHeight="1">
      <c r="A48" s="125" t="s">
        <v>622</v>
      </c>
      <c r="B48" s="431"/>
      <c r="C48" s="432"/>
      <c r="D48" s="432"/>
      <c r="E48" s="432"/>
      <c r="F48" s="432"/>
      <c r="G48" s="432"/>
      <c r="H48" s="432"/>
      <c r="I48" s="432"/>
      <c r="J48" s="432"/>
      <c r="K48" s="432"/>
      <c r="L48" s="433"/>
      <c r="M48" s="82"/>
      <c r="N48" s="82"/>
      <c r="O48" s="101"/>
      <c r="P48" s="100"/>
      <c r="Q48" s="82"/>
      <c r="R48" s="82"/>
      <c r="S48" s="99"/>
      <c r="T48" s="100"/>
      <c r="U48" s="104"/>
      <c r="V48" s="104"/>
      <c r="W48" s="111">
        <f t="shared" si="6"/>
        <v>0</v>
      </c>
      <c r="X48" s="100"/>
      <c r="Y48" s="82"/>
      <c r="Z48" s="82"/>
      <c r="AA48" s="99">
        <f t="shared" si="5"/>
        <v>0</v>
      </c>
      <c r="AB48" s="100"/>
      <c r="AC48" s="105">
        <f t="shared" si="7"/>
        <v>0</v>
      </c>
      <c r="AD48" s="105">
        <f t="shared" si="2"/>
        <v>0</v>
      </c>
      <c r="AE48" s="111">
        <f t="shared" si="3"/>
        <v>0</v>
      </c>
      <c r="AF48" s="100" t="e">
        <f t="shared" si="4"/>
        <v>#DIV/0!</v>
      </c>
    </row>
    <row r="49" spans="1:32" ht="18.75" hidden="1" customHeight="1">
      <c r="A49" s="125" t="s">
        <v>623</v>
      </c>
      <c r="B49" s="431"/>
      <c r="C49" s="432"/>
      <c r="D49" s="432"/>
      <c r="E49" s="432"/>
      <c r="F49" s="432"/>
      <c r="G49" s="432"/>
      <c r="H49" s="432"/>
      <c r="I49" s="432"/>
      <c r="J49" s="432"/>
      <c r="K49" s="432"/>
      <c r="L49" s="433"/>
      <c r="M49" s="82"/>
      <c r="N49" s="82"/>
      <c r="O49" s="101"/>
      <c r="P49" s="100"/>
      <c r="Q49" s="82"/>
      <c r="R49" s="82"/>
      <c r="S49" s="99"/>
      <c r="T49" s="100"/>
      <c r="U49" s="104"/>
      <c r="V49" s="104"/>
      <c r="W49" s="111">
        <f t="shared" si="6"/>
        <v>0</v>
      </c>
      <c r="X49" s="100"/>
      <c r="Y49" s="82"/>
      <c r="Z49" s="82"/>
      <c r="AA49" s="99">
        <f t="shared" si="5"/>
        <v>0</v>
      </c>
      <c r="AB49" s="100"/>
      <c r="AC49" s="105">
        <f t="shared" si="7"/>
        <v>0</v>
      </c>
      <c r="AD49" s="105">
        <f t="shared" si="2"/>
        <v>0</v>
      </c>
      <c r="AE49" s="111">
        <f t="shared" si="3"/>
        <v>0</v>
      </c>
      <c r="AF49" s="100" t="e">
        <f t="shared" si="4"/>
        <v>#DIV/0!</v>
      </c>
    </row>
    <row r="50" spans="1:32" ht="18.75" hidden="1" customHeight="1">
      <c r="A50" s="125" t="s">
        <v>624</v>
      </c>
      <c r="B50" s="431"/>
      <c r="C50" s="432"/>
      <c r="D50" s="432"/>
      <c r="E50" s="432"/>
      <c r="F50" s="432"/>
      <c r="G50" s="432"/>
      <c r="H50" s="432"/>
      <c r="I50" s="432"/>
      <c r="J50" s="432"/>
      <c r="K50" s="432"/>
      <c r="L50" s="433"/>
      <c r="M50" s="82"/>
      <c r="N50" s="82"/>
      <c r="O50" s="101">
        <f>N50-M50</f>
        <v>0</v>
      </c>
      <c r="P50" s="100"/>
      <c r="Q50" s="82"/>
      <c r="R50" s="82"/>
      <c r="S50" s="99">
        <f>R50-Q50</f>
        <v>0</v>
      </c>
      <c r="T50" s="100"/>
      <c r="U50" s="104"/>
      <c r="V50" s="104"/>
      <c r="W50" s="111">
        <f t="shared" si="6"/>
        <v>0</v>
      </c>
      <c r="X50" s="100"/>
      <c r="Y50" s="82"/>
      <c r="Z50" s="82"/>
      <c r="AA50" s="99">
        <f t="shared" si="5"/>
        <v>0</v>
      </c>
      <c r="AB50" s="100"/>
      <c r="AC50" s="105">
        <f t="shared" si="7"/>
        <v>0</v>
      </c>
      <c r="AD50" s="105">
        <f t="shared" si="2"/>
        <v>0</v>
      </c>
      <c r="AE50" s="111">
        <f t="shared" si="3"/>
        <v>0</v>
      </c>
      <c r="AF50" s="100" t="e">
        <f t="shared" si="4"/>
        <v>#DIV/0!</v>
      </c>
    </row>
    <row r="51" spans="1:32" ht="18.75" hidden="1" customHeight="1">
      <c r="A51" s="125" t="s">
        <v>625</v>
      </c>
      <c r="B51" s="431"/>
      <c r="C51" s="432"/>
      <c r="D51" s="432"/>
      <c r="E51" s="432"/>
      <c r="F51" s="432"/>
      <c r="G51" s="432"/>
      <c r="H51" s="432"/>
      <c r="I51" s="432"/>
      <c r="J51" s="432"/>
      <c r="K51" s="432"/>
      <c r="L51" s="433"/>
      <c r="M51" s="82"/>
      <c r="N51" s="82"/>
      <c r="O51" s="101">
        <f>N51-M51</f>
        <v>0</v>
      </c>
      <c r="P51" s="100"/>
      <c r="Q51" s="82"/>
      <c r="R51" s="82"/>
      <c r="S51" s="99">
        <f>R51-Q51</f>
        <v>0</v>
      </c>
      <c r="T51" s="100"/>
      <c r="U51" s="104"/>
      <c r="V51" s="104"/>
      <c r="W51" s="111">
        <f t="shared" si="6"/>
        <v>0</v>
      </c>
      <c r="X51" s="100"/>
      <c r="Y51" s="82"/>
      <c r="Z51" s="82"/>
      <c r="AA51" s="99">
        <f t="shared" si="5"/>
        <v>0</v>
      </c>
      <c r="AB51" s="100"/>
      <c r="AC51" s="105">
        <f t="shared" si="7"/>
        <v>0</v>
      </c>
      <c r="AD51" s="105">
        <f t="shared" si="2"/>
        <v>0</v>
      </c>
      <c r="AE51" s="111">
        <f t="shared" si="3"/>
        <v>0</v>
      </c>
      <c r="AF51" s="100" t="e">
        <f t="shared" si="4"/>
        <v>#DIV/0!</v>
      </c>
    </row>
    <row r="52" spans="1:32" ht="18.75" hidden="1" customHeight="1">
      <c r="A52" s="125" t="s">
        <v>626</v>
      </c>
      <c r="B52" s="431"/>
      <c r="C52" s="432"/>
      <c r="D52" s="432"/>
      <c r="E52" s="432"/>
      <c r="F52" s="432"/>
      <c r="G52" s="432"/>
      <c r="H52" s="432"/>
      <c r="I52" s="432"/>
      <c r="J52" s="432"/>
      <c r="K52" s="432"/>
      <c r="L52" s="433"/>
      <c r="M52" s="82"/>
      <c r="N52" s="82"/>
      <c r="O52" s="101">
        <f>N52-M52</f>
        <v>0</v>
      </c>
      <c r="P52" s="100"/>
      <c r="Q52" s="82"/>
      <c r="R52" s="82"/>
      <c r="S52" s="99">
        <f>R52-Q52</f>
        <v>0</v>
      </c>
      <c r="T52" s="100"/>
      <c r="U52" s="104"/>
      <c r="V52" s="104"/>
      <c r="W52" s="111">
        <f t="shared" si="6"/>
        <v>0</v>
      </c>
      <c r="X52" s="100"/>
      <c r="Y52" s="82"/>
      <c r="Z52" s="82"/>
      <c r="AA52" s="99">
        <f t="shared" si="5"/>
        <v>0</v>
      </c>
      <c r="AB52" s="100"/>
      <c r="AC52" s="105">
        <f t="shared" si="7"/>
        <v>0</v>
      </c>
      <c r="AD52" s="105">
        <f t="shared" si="2"/>
        <v>0</v>
      </c>
      <c r="AE52" s="111">
        <f t="shared" si="3"/>
        <v>0</v>
      </c>
      <c r="AF52" s="100" t="e">
        <f t="shared" si="4"/>
        <v>#DIV/0!</v>
      </c>
    </row>
    <row r="53" spans="1:32" ht="18.75" hidden="1" customHeight="1">
      <c r="A53" s="125" t="s">
        <v>641</v>
      </c>
      <c r="B53" s="431"/>
      <c r="C53" s="432"/>
      <c r="D53" s="432"/>
      <c r="E53" s="432"/>
      <c r="F53" s="432"/>
      <c r="G53" s="432"/>
      <c r="H53" s="432"/>
      <c r="I53" s="432"/>
      <c r="J53" s="432"/>
      <c r="K53" s="432"/>
      <c r="L53" s="433"/>
      <c r="M53" s="82"/>
      <c r="N53" s="82"/>
      <c r="O53" s="101"/>
      <c r="P53" s="100"/>
      <c r="Q53" s="82"/>
      <c r="R53" s="82"/>
      <c r="S53" s="99"/>
      <c r="T53" s="100"/>
      <c r="U53" s="104"/>
      <c r="V53" s="104"/>
      <c r="W53" s="111"/>
      <c r="X53" s="100"/>
      <c r="Y53" s="82"/>
      <c r="Z53" s="82"/>
      <c r="AA53" s="99"/>
      <c r="AB53" s="100"/>
      <c r="AC53" s="105"/>
      <c r="AD53" s="105">
        <f t="shared" si="2"/>
        <v>0</v>
      </c>
      <c r="AE53" s="111">
        <f t="shared" si="3"/>
        <v>0</v>
      </c>
      <c r="AF53" s="100" t="e">
        <f t="shared" si="4"/>
        <v>#DIV/0!</v>
      </c>
    </row>
    <row r="54" spans="1:32" ht="18.75" hidden="1" customHeight="1">
      <c r="A54" s="125" t="s">
        <v>642</v>
      </c>
      <c r="B54" s="431"/>
      <c r="C54" s="432"/>
      <c r="D54" s="432"/>
      <c r="E54" s="432"/>
      <c r="F54" s="432"/>
      <c r="G54" s="432"/>
      <c r="H54" s="432"/>
      <c r="I54" s="432"/>
      <c r="J54" s="432"/>
      <c r="K54" s="432"/>
      <c r="L54" s="433"/>
      <c r="M54" s="82"/>
      <c r="N54" s="82"/>
      <c r="O54" s="101"/>
      <c r="P54" s="100"/>
      <c r="Q54" s="82"/>
      <c r="R54" s="82"/>
      <c r="S54" s="99"/>
      <c r="T54" s="100"/>
      <c r="U54" s="104"/>
      <c r="V54" s="104"/>
      <c r="W54" s="111"/>
      <c r="X54" s="100"/>
      <c r="Y54" s="82"/>
      <c r="Z54" s="82"/>
      <c r="AA54" s="99"/>
      <c r="AB54" s="100"/>
      <c r="AC54" s="105"/>
      <c r="AD54" s="105">
        <f t="shared" si="2"/>
        <v>0</v>
      </c>
      <c r="AE54" s="111">
        <f t="shared" si="3"/>
        <v>0</v>
      </c>
      <c r="AF54" s="100" t="e">
        <f t="shared" si="4"/>
        <v>#DIV/0!</v>
      </c>
    </row>
    <row r="55" spans="1:32" ht="18.75" customHeight="1">
      <c r="A55" s="123" t="s">
        <v>392</v>
      </c>
      <c r="B55" s="434" t="s">
        <v>393</v>
      </c>
      <c r="C55" s="435"/>
      <c r="D55" s="435"/>
      <c r="E55" s="435"/>
      <c r="F55" s="435"/>
      <c r="G55" s="435"/>
      <c r="H55" s="435"/>
      <c r="I55" s="435"/>
      <c r="J55" s="435"/>
      <c r="K55" s="435"/>
      <c r="L55" s="436"/>
      <c r="M55" s="82"/>
      <c r="N55" s="82"/>
      <c r="O55" s="101">
        <f>N55-M55</f>
        <v>0</v>
      </c>
      <c r="P55" s="100"/>
      <c r="Q55" s="82"/>
      <c r="R55" s="82"/>
      <c r="S55" s="99">
        <f>R55-Q55</f>
        <v>0</v>
      </c>
      <c r="T55" s="100"/>
      <c r="U55" s="115">
        <f>U56+U57+U58+U60</f>
        <v>166.7</v>
      </c>
      <c r="V55" s="115">
        <f>V56+V57+V58+V59+V60</f>
        <v>617.80000000000007</v>
      </c>
      <c r="W55" s="181">
        <f t="shared" si="6"/>
        <v>451.10000000000008</v>
      </c>
      <c r="X55" s="184">
        <f t="shared" ref="X55:X56" si="8">V55/U55*100</f>
        <v>370.60587882423522</v>
      </c>
      <c r="Y55" s="187"/>
      <c r="Z55" s="187"/>
      <c r="AA55" s="186">
        <f>Z55-Y55</f>
        <v>0</v>
      </c>
      <c r="AB55" s="184"/>
      <c r="AC55" s="136">
        <f t="shared" si="7"/>
        <v>166.7</v>
      </c>
      <c r="AD55" s="136">
        <f t="shared" si="2"/>
        <v>617.80000000000007</v>
      </c>
      <c r="AE55" s="181">
        <f t="shared" si="3"/>
        <v>451.10000000000008</v>
      </c>
      <c r="AF55" s="184">
        <f t="shared" si="4"/>
        <v>370.60587882423522</v>
      </c>
    </row>
    <row r="56" spans="1:32" ht="18.75" customHeight="1">
      <c r="A56" s="125" t="s">
        <v>394</v>
      </c>
      <c r="B56" s="431" t="s">
        <v>691</v>
      </c>
      <c r="C56" s="432"/>
      <c r="D56" s="432"/>
      <c r="E56" s="432"/>
      <c r="F56" s="432"/>
      <c r="G56" s="432"/>
      <c r="H56" s="432"/>
      <c r="I56" s="432"/>
      <c r="J56" s="432"/>
      <c r="K56" s="432"/>
      <c r="L56" s="433"/>
      <c r="M56" s="82"/>
      <c r="N56" s="82"/>
      <c r="O56" s="101">
        <f>N56-M56</f>
        <v>0</v>
      </c>
      <c r="P56" s="100"/>
      <c r="Q56" s="82"/>
      <c r="R56" s="82"/>
      <c r="S56" s="99">
        <f>R56-Q56</f>
        <v>0</v>
      </c>
      <c r="T56" s="100"/>
      <c r="U56" s="104">
        <v>166.7</v>
      </c>
      <c r="V56" s="104">
        <f>4+(2.7+157.6)</f>
        <v>164.29999999999998</v>
      </c>
      <c r="W56" s="111">
        <f t="shared" si="6"/>
        <v>-2.4000000000000057</v>
      </c>
      <c r="X56" s="100">
        <f t="shared" si="8"/>
        <v>98.56028794241152</v>
      </c>
      <c r="Y56" s="82"/>
      <c r="Z56" s="82"/>
      <c r="AA56" s="99">
        <f>Z56-Y56</f>
        <v>0</v>
      </c>
      <c r="AB56" s="100"/>
      <c r="AC56" s="105">
        <f t="shared" si="7"/>
        <v>166.7</v>
      </c>
      <c r="AD56" s="105">
        <f t="shared" si="2"/>
        <v>164.29999999999998</v>
      </c>
      <c r="AE56" s="111">
        <f t="shared" si="3"/>
        <v>-2.4000000000000057</v>
      </c>
      <c r="AF56" s="100">
        <f t="shared" si="4"/>
        <v>98.56028794241152</v>
      </c>
    </row>
    <row r="57" spans="1:32" ht="18.75" customHeight="1">
      <c r="A57" s="125" t="s">
        <v>643</v>
      </c>
      <c r="B57" s="431" t="s">
        <v>703</v>
      </c>
      <c r="C57" s="432"/>
      <c r="D57" s="432"/>
      <c r="E57" s="432"/>
      <c r="F57" s="432"/>
      <c r="G57" s="432"/>
      <c r="H57" s="432"/>
      <c r="I57" s="432"/>
      <c r="J57" s="432"/>
      <c r="K57" s="432"/>
      <c r="L57" s="433"/>
      <c r="M57" s="82"/>
      <c r="N57" s="82"/>
      <c r="O57" s="101"/>
      <c r="P57" s="100"/>
      <c r="Q57" s="82"/>
      <c r="R57" s="82"/>
      <c r="S57" s="99"/>
      <c r="T57" s="100"/>
      <c r="U57" s="104"/>
      <c r="V57" s="104">
        <f>6.2+5.2+4.4+(18.7)</f>
        <v>34.5</v>
      </c>
      <c r="W57" s="111">
        <f>V57-U57</f>
        <v>34.5</v>
      </c>
      <c r="X57" s="100"/>
      <c r="Y57" s="82"/>
      <c r="Z57" s="82"/>
      <c r="AA57" s="99"/>
      <c r="AB57" s="100"/>
      <c r="AC57" s="105">
        <f>SUM(M57,Q57,U57,Y57)</f>
        <v>0</v>
      </c>
      <c r="AD57" s="105">
        <f t="shared" si="2"/>
        <v>34.5</v>
      </c>
      <c r="AE57" s="111">
        <f t="shared" si="3"/>
        <v>34.5</v>
      </c>
      <c r="AF57" s="100"/>
    </row>
    <row r="58" spans="1:32" ht="18.75" customHeight="1">
      <c r="A58" s="125" t="s">
        <v>644</v>
      </c>
      <c r="B58" s="431" t="s">
        <v>704</v>
      </c>
      <c r="C58" s="432"/>
      <c r="D58" s="432"/>
      <c r="E58" s="432"/>
      <c r="F58" s="432"/>
      <c r="G58" s="432"/>
      <c r="H58" s="432"/>
      <c r="I58" s="432"/>
      <c r="J58" s="432"/>
      <c r="K58" s="432"/>
      <c r="L58" s="433"/>
      <c r="M58" s="82"/>
      <c r="N58" s="82"/>
      <c r="O58" s="101"/>
      <c r="P58" s="100"/>
      <c r="Q58" s="82"/>
      <c r="R58" s="82"/>
      <c r="S58" s="99"/>
      <c r="T58" s="100"/>
      <c r="U58" s="104"/>
      <c r="V58" s="104">
        <f>1.9+7.9+25.4+(5.6)</f>
        <v>40.800000000000004</v>
      </c>
      <c r="W58" s="111">
        <f>V58-U58</f>
        <v>40.800000000000004</v>
      </c>
      <c r="X58" s="100"/>
      <c r="Y58" s="82"/>
      <c r="Z58" s="82"/>
      <c r="AA58" s="99"/>
      <c r="AB58" s="100"/>
      <c r="AC58" s="105">
        <f>SUM(M58,Q58,U58,Y58)</f>
        <v>0</v>
      </c>
      <c r="AD58" s="105">
        <f t="shared" si="2"/>
        <v>40.800000000000004</v>
      </c>
      <c r="AE58" s="111">
        <f t="shared" si="3"/>
        <v>40.800000000000004</v>
      </c>
      <c r="AF58" s="100"/>
    </row>
    <row r="59" spans="1:32" ht="18.75" customHeight="1">
      <c r="A59" s="125" t="s">
        <v>645</v>
      </c>
      <c r="B59" s="431" t="s">
        <v>689</v>
      </c>
      <c r="C59" s="432"/>
      <c r="D59" s="432"/>
      <c r="E59" s="432"/>
      <c r="F59" s="432"/>
      <c r="G59" s="432"/>
      <c r="H59" s="432"/>
      <c r="I59" s="432"/>
      <c r="J59" s="432"/>
      <c r="K59" s="432"/>
      <c r="L59" s="433"/>
      <c r="M59" s="82"/>
      <c r="N59" s="82"/>
      <c r="O59" s="101"/>
      <c r="P59" s="100"/>
      <c r="Q59" s="82"/>
      <c r="R59" s="82"/>
      <c r="S59" s="99"/>
      <c r="T59" s="100"/>
      <c r="U59" s="104"/>
      <c r="V59" s="104">
        <f>(51.1)+213.5+(6.4)</f>
        <v>271</v>
      </c>
      <c r="W59" s="111">
        <f>V59-U59</f>
        <v>271</v>
      </c>
      <c r="X59" s="100"/>
      <c r="Y59" s="82"/>
      <c r="Z59" s="82"/>
      <c r="AA59" s="99"/>
      <c r="AB59" s="100"/>
      <c r="AC59" s="105"/>
      <c r="AD59" s="105"/>
      <c r="AE59" s="111"/>
      <c r="AF59" s="100"/>
    </row>
    <row r="60" spans="1:32" ht="18.75" customHeight="1">
      <c r="A60" s="125" t="s">
        <v>719</v>
      </c>
      <c r="B60" s="431" t="s">
        <v>705</v>
      </c>
      <c r="C60" s="432"/>
      <c r="D60" s="432"/>
      <c r="E60" s="432"/>
      <c r="F60" s="432"/>
      <c r="G60" s="432"/>
      <c r="H60" s="432"/>
      <c r="I60" s="432"/>
      <c r="J60" s="432"/>
      <c r="K60" s="432"/>
      <c r="L60" s="433"/>
      <c r="M60" s="82"/>
      <c r="N60" s="82"/>
      <c r="O60" s="101"/>
      <c r="P60" s="100"/>
      <c r="Q60" s="82"/>
      <c r="R60" s="82"/>
      <c r="S60" s="99"/>
      <c r="T60" s="100"/>
      <c r="U60" s="104"/>
      <c r="V60" s="104">
        <f>2.6+23.2+22.2+(59.2)</f>
        <v>107.2</v>
      </c>
      <c r="W60" s="111">
        <f>V60-U60</f>
        <v>107.2</v>
      </c>
      <c r="X60" s="100"/>
      <c r="Y60" s="82"/>
      <c r="Z60" s="82"/>
      <c r="AA60" s="99"/>
      <c r="AB60" s="100"/>
      <c r="AC60" s="105">
        <f>SUM(M60,Q60,U60,Y60)</f>
        <v>0</v>
      </c>
      <c r="AD60" s="105">
        <f t="shared" si="2"/>
        <v>107.2</v>
      </c>
      <c r="AE60" s="111">
        <f t="shared" si="3"/>
        <v>107.2</v>
      </c>
      <c r="AF60" s="100"/>
    </row>
    <row r="61" spans="1:32" ht="18.75" customHeight="1">
      <c r="A61" s="123" t="s">
        <v>395</v>
      </c>
      <c r="B61" s="434" t="s">
        <v>396</v>
      </c>
      <c r="C61" s="435"/>
      <c r="D61" s="435"/>
      <c r="E61" s="435"/>
      <c r="F61" s="435"/>
      <c r="G61" s="435"/>
      <c r="H61" s="435"/>
      <c r="I61" s="435"/>
      <c r="J61" s="435"/>
      <c r="K61" s="435"/>
      <c r="L61" s="436"/>
      <c r="M61" s="82"/>
      <c r="N61" s="82"/>
      <c r="O61" s="101">
        <f t="shared" ref="O61:O66" si="9">N61-M61</f>
        <v>0</v>
      </c>
      <c r="P61" s="100"/>
      <c r="Q61" s="82"/>
      <c r="R61" s="82"/>
      <c r="S61" s="99">
        <f t="shared" ref="S61:S66" si="10">R61-Q61</f>
        <v>0</v>
      </c>
      <c r="T61" s="100"/>
      <c r="U61" s="115">
        <f>U62</f>
        <v>0</v>
      </c>
      <c r="V61" s="115">
        <f>V62</f>
        <v>151.20000000000002</v>
      </c>
      <c r="W61" s="181">
        <f t="shared" si="6"/>
        <v>151.20000000000002</v>
      </c>
      <c r="X61" s="100"/>
      <c r="Y61" s="82"/>
      <c r="Z61" s="82"/>
      <c r="AA61" s="99">
        <f t="shared" ref="AA61:AA71" si="11">Z61-Y61</f>
        <v>0</v>
      </c>
      <c r="AB61" s="100"/>
      <c r="AC61" s="105">
        <f>SUM(M61,Q61,U61,Y61)</f>
        <v>0</v>
      </c>
      <c r="AD61" s="105">
        <f t="shared" si="2"/>
        <v>151.20000000000002</v>
      </c>
      <c r="AE61" s="111">
        <f t="shared" si="3"/>
        <v>151.20000000000002</v>
      </c>
      <c r="AF61" s="100"/>
    </row>
    <row r="62" spans="1:32" ht="18.75" customHeight="1">
      <c r="A62" s="124" t="s">
        <v>397</v>
      </c>
      <c r="B62" s="431" t="s">
        <v>720</v>
      </c>
      <c r="C62" s="432"/>
      <c r="D62" s="432"/>
      <c r="E62" s="432"/>
      <c r="F62" s="432"/>
      <c r="G62" s="432"/>
      <c r="H62" s="432"/>
      <c r="I62" s="432"/>
      <c r="J62" s="432"/>
      <c r="K62" s="432"/>
      <c r="L62" s="433"/>
      <c r="M62" s="82"/>
      <c r="N62" s="82"/>
      <c r="O62" s="101">
        <f t="shared" si="9"/>
        <v>0</v>
      </c>
      <c r="P62" s="100"/>
      <c r="Q62" s="82"/>
      <c r="R62" s="82"/>
      <c r="S62" s="99">
        <f t="shared" si="10"/>
        <v>0</v>
      </c>
      <c r="T62" s="100"/>
      <c r="U62" s="104"/>
      <c r="V62" s="104">
        <f>13.9+137.3</f>
        <v>151.20000000000002</v>
      </c>
      <c r="W62" s="111">
        <f t="shared" si="6"/>
        <v>151.20000000000002</v>
      </c>
      <c r="X62" s="100"/>
      <c r="Y62" s="82"/>
      <c r="Z62" s="82"/>
      <c r="AA62" s="99">
        <f t="shared" si="11"/>
        <v>0</v>
      </c>
      <c r="AB62" s="100"/>
      <c r="AC62" s="105">
        <f>SUM(M62,Q62,U62,Y62)</f>
        <v>0</v>
      </c>
      <c r="AD62" s="105">
        <f t="shared" si="2"/>
        <v>151.20000000000002</v>
      </c>
      <c r="AE62" s="111">
        <f t="shared" si="3"/>
        <v>151.20000000000002</v>
      </c>
      <c r="AF62" s="100"/>
    </row>
    <row r="63" spans="1:32" s="14" customFormat="1" ht="18.75" customHeight="1">
      <c r="A63" s="123" t="s">
        <v>398</v>
      </c>
      <c r="B63" s="434" t="s">
        <v>399</v>
      </c>
      <c r="C63" s="435"/>
      <c r="D63" s="435"/>
      <c r="E63" s="435"/>
      <c r="F63" s="435"/>
      <c r="G63" s="435"/>
      <c r="H63" s="435"/>
      <c r="I63" s="435"/>
      <c r="J63" s="435"/>
      <c r="K63" s="435"/>
      <c r="L63" s="436"/>
      <c r="M63" s="115">
        <f>SUM(M64:M71)</f>
        <v>0</v>
      </c>
      <c r="N63" s="115">
        <f>SUM(N64:N71)</f>
        <v>0</v>
      </c>
      <c r="O63" s="185">
        <f t="shared" si="9"/>
        <v>0</v>
      </c>
      <c r="P63" s="184"/>
      <c r="Q63" s="115">
        <f>SUM(Q64:Q71)</f>
        <v>0</v>
      </c>
      <c r="R63" s="115">
        <f>SUM(R64:R71)</f>
        <v>0</v>
      </c>
      <c r="S63" s="186">
        <f t="shared" si="10"/>
        <v>0</v>
      </c>
      <c r="T63" s="184"/>
      <c r="U63" s="115">
        <f>SUM(U64:U82)</f>
        <v>21101.7</v>
      </c>
      <c r="V63" s="115">
        <f>SUM(V64:V82)</f>
        <v>4027.2000000000003</v>
      </c>
      <c r="W63" s="181">
        <f t="shared" ref="W63:W86" si="12">V63-U63</f>
        <v>-17074.5</v>
      </c>
      <c r="X63" s="184">
        <f>V63/U63*100</f>
        <v>19.084718292838968</v>
      </c>
      <c r="Y63" s="115">
        <f>SUM(Y64:Y71)</f>
        <v>0</v>
      </c>
      <c r="Z63" s="115">
        <f>SUM(Z64:Z71)</f>
        <v>0</v>
      </c>
      <c r="AA63" s="186">
        <f t="shared" si="11"/>
        <v>0</v>
      </c>
      <c r="AB63" s="184"/>
      <c r="AC63" s="136">
        <f t="shared" ref="AC63:AC86" si="13">SUM(M63,Q63,U63,Y63)</f>
        <v>21101.7</v>
      </c>
      <c r="AD63" s="136">
        <f t="shared" ref="AD63:AD71" si="14">SUM(N63,R63,V63,Z63)</f>
        <v>4027.2000000000003</v>
      </c>
      <c r="AE63" s="181">
        <f t="shared" ref="AE63:AE91" si="15">AD63-AC63</f>
        <v>-17074.5</v>
      </c>
      <c r="AF63" s="184">
        <f>AD63/AC63*100</f>
        <v>19.084718292838968</v>
      </c>
    </row>
    <row r="64" spans="1:32" ht="18.75" customHeight="1">
      <c r="A64" s="125" t="s">
        <v>410</v>
      </c>
      <c r="B64" s="431" t="s">
        <v>692</v>
      </c>
      <c r="C64" s="432"/>
      <c r="D64" s="432"/>
      <c r="E64" s="432"/>
      <c r="F64" s="432"/>
      <c r="G64" s="432"/>
      <c r="H64" s="432"/>
      <c r="I64" s="432"/>
      <c r="J64" s="432"/>
      <c r="K64" s="432"/>
      <c r="L64" s="433"/>
      <c r="M64" s="82"/>
      <c r="N64" s="82"/>
      <c r="O64" s="101">
        <f t="shared" si="9"/>
        <v>0</v>
      </c>
      <c r="P64" s="100"/>
      <c r="Q64" s="82"/>
      <c r="R64" s="82"/>
      <c r="S64" s="99">
        <f t="shared" si="10"/>
        <v>0</v>
      </c>
      <c r="T64" s="100"/>
      <c r="U64" s="104">
        <v>375</v>
      </c>
      <c r="V64" s="104">
        <v>630</v>
      </c>
      <c r="W64" s="111">
        <f t="shared" si="12"/>
        <v>255</v>
      </c>
      <c r="X64" s="184"/>
      <c r="Y64" s="82"/>
      <c r="Z64" s="82"/>
      <c r="AA64" s="99">
        <f t="shared" si="11"/>
        <v>0</v>
      </c>
      <c r="AB64" s="100"/>
      <c r="AC64" s="105">
        <f t="shared" si="13"/>
        <v>375</v>
      </c>
      <c r="AD64" s="105">
        <f t="shared" si="14"/>
        <v>630</v>
      </c>
      <c r="AE64" s="111">
        <f t="shared" si="15"/>
        <v>255</v>
      </c>
      <c r="AF64" s="100"/>
    </row>
    <row r="65" spans="1:32" ht="18.75" customHeight="1">
      <c r="A65" s="125" t="s">
        <v>411</v>
      </c>
      <c r="B65" s="431" t="s">
        <v>693</v>
      </c>
      <c r="C65" s="432"/>
      <c r="D65" s="432"/>
      <c r="E65" s="432"/>
      <c r="F65" s="432"/>
      <c r="G65" s="432"/>
      <c r="H65" s="432"/>
      <c r="I65" s="432"/>
      <c r="J65" s="432"/>
      <c r="K65" s="432"/>
      <c r="L65" s="433"/>
      <c r="M65" s="82"/>
      <c r="N65" s="82"/>
      <c r="O65" s="101">
        <f t="shared" si="9"/>
        <v>0</v>
      </c>
      <c r="P65" s="100"/>
      <c r="Q65" s="82"/>
      <c r="R65" s="82"/>
      <c r="S65" s="99">
        <f t="shared" si="10"/>
        <v>0</v>
      </c>
      <c r="T65" s="100"/>
      <c r="U65" s="104">
        <v>375</v>
      </c>
      <c r="V65" s="104"/>
      <c r="W65" s="111">
        <f t="shared" si="12"/>
        <v>-375</v>
      </c>
      <c r="X65" s="184"/>
      <c r="Y65" s="82"/>
      <c r="Z65" s="82"/>
      <c r="AA65" s="99">
        <f t="shared" si="11"/>
        <v>0</v>
      </c>
      <c r="AB65" s="100"/>
      <c r="AC65" s="105">
        <f t="shared" si="13"/>
        <v>375</v>
      </c>
      <c r="AD65" s="105">
        <f t="shared" si="14"/>
        <v>0</v>
      </c>
      <c r="AE65" s="111">
        <f t="shared" si="15"/>
        <v>-375</v>
      </c>
      <c r="AF65" s="100"/>
    </row>
    <row r="66" spans="1:32" ht="18.75" customHeight="1">
      <c r="A66" s="125" t="s">
        <v>412</v>
      </c>
      <c r="B66" s="431" t="s">
        <v>694</v>
      </c>
      <c r="C66" s="432"/>
      <c r="D66" s="432"/>
      <c r="E66" s="432"/>
      <c r="F66" s="432"/>
      <c r="G66" s="432"/>
      <c r="H66" s="432"/>
      <c r="I66" s="432"/>
      <c r="J66" s="432"/>
      <c r="K66" s="432"/>
      <c r="L66" s="433"/>
      <c r="M66" s="82"/>
      <c r="N66" s="82"/>
      <c r="O66" s="101">
        <f t="shared" si="9"/>
        <v>0</v>
      </c>
      <c r="P66" s="100"/>
      <c r="Q66" s="82"/>
      <c r="R66" s="82"/>
      <c r="S66" s="99">
        <f t="shared" si="10"/>
        <v>0</v>
      </c>
      <c r="T66" s="100"/>
      <c r="U66" s="104">
        <v>291.7</v>
      </c>
      <c r="V66" s="104">
        <v>458.6</v>
      </c>
      <c r="W66" s="111">
        <f t="shared" si="12"/>
        <v>166.90000000000003</v>
      </c>
      <c r="X66" s="184"/>
      <c r="Y66" s="82"/>
      <c r="Z66" s="82"/>
      <c r="AA66" s="99">
        <f t="shared" si="11"/>
        <v>0</v>
      </c>
      <c r="AB66" s="100"/>
      <c r="AC66" s="105">
        <f t="shared" si="13"/>
        <v>291.7</v>
      </c>
      <c r="AD66" s="105">
        <f t="shared" si="14"/>
        <v>458.6</v>
      </c>
      <c r="AE66" s="111">
        <f t="shared" si="15"/>
        <v>166.90000000000003</v>
      </c>
      <c r="AF66" s="100"/>
    </row>
    <row r="67" spans="1:32" ht="18.75" customHeight="1">
      <c r="A67" s="125" t="s">
        <v>413</v>
      </c>
      <c r="B67" s="431" t="s">
        <v>695</v>
      </c>
      <c r="C67" s="432"/>
      <c r="D67" s="432"/>
      <c r="E67" s="432"/>
      <c r="F67" s="432"/>
      <c r="G67" s="432"/>
      <c r="H67" s="432"/>
      <c r="I67" s="432"/>
      <c r="J67" s="432"/>
      <c r="K67" s="432"/>
      <c r="L67" s="433"/>
      <c r="M67" s="82"/>
      <c r="N67" s="82"/>
      <c r="O67" s="101"/>
      <c r="P67" s="100"/>
      <c r="Q67" s="82"/>
      <c r="R67" s="82"/>
      <c r="S67" s="99"/>
      <c r="T67" s="100"/>
      <c r="U67" s="104">
        <v>5000</v>
      </c>
      <c r="V67" s="104"/>
      <c r="W67" s="111">
        <f t="shared" si="12"/>
        <v>-5000</v>
      </c>
      <c r="X67" s="184"/>
      <c r="Y67" s="82"/>
      <c r="Z67" s="82"/>
      <c r="AA67" s="99">
        <f t="shared" si="11"/>
        <v>0</v>
      </c>
      <c r="AB67" s="100"/>
      <c r="AC67" s="105">
        <f t="shared" si="13"/>
        <v>5000</v>
      </c>
      <c r="AD67" s="105">
        <f t="shared" si="14"/>
        <v>0</v>
      </c>
      <c r="AE67" s="111">
        <f t="shared" si="15"/>
        <v>-5000</v>
      </c>
      <c r="AF67" s="100"/>
    </row>
    <row r="68" spans="1:32" ht="18.75" customHeight="1">
      <c r="A68" s="125" t="s">
        <v>627</v>
      </c>
      <c r="B68" s="431" t="s">
        <v>696</v>
      </c>
      <c r="C68" s="432"/>
      <c r="D68" s="432"/>
      <c r="E68" s="432"/>
      <c r="F68" s="432"/>
      <c r="G68" s="432"/>
      <c r="H68" s="432"/>
      <c r="I68" s="432"/>
      <c r="J68" s="432"/>
      <c r="K68" s="432"/>
      <c r="L68" s="433"/>
      <c r="M68" s="82"/>
      <c r="N68" s="82"/>
      <c r="O68" s="101"/>
      <c r="P68" s="100"/>
      <c r="Q68" s="82"/>
      <c r="R68" s="82"/>
      <c r="S68" s="99"/>
      <c r="T68" s="100"/>
      <c r="U68" s="104">
        <v>3000</v>
      </c>
      <c r="V68" s="104">
        <v>1284.5</v>
      </c>
      <c r="W68" s="111">
        <f t="shared" si="12"/>
        <v>-1715.5</v>
      </c>
      <c r="X68" s="184"/>
      <c r="Y68" s="82"/>
      <c r="Z68" s="82"/>
      <c r="AA68" s="99">
        <f t="shared" si="11"/>
        <v>0</v>
      </c>
      <c r="AB68" s="100"/>
      <c r="AC68" s="105">
        <f t="shared" si="13"/>
        <v>3000</v>
      </c>
      <c r="AD68" s="105">
        <f t="shared" si="14"/>
        <v>1284.5</v>
      </c>
      <c r="AE68" s="111">
        <f t="shared" si="15"/>
        <v>-1715.5</v>
      </c>
      <c r="AF68" s="100"/>
    </row>
    <row r="69" spans="1:32" ht="18.75" customHeight="1">
      <c r="A69" s="125" t="s">
        <v>628</v>
      </c>
      <c r="B69" s="431" t="s">
        <v>697</v>
      </c>
      <c r="C69" s="432"/>
      <c r="D69" s="432"/>
      <c r="E69" s="432"/>
      <c r="F69" s="432"/>
      <c r="G69" s="432"/>
      <c r="H69" s="432"/>
      <c r="I69" s="432"/>
      <c r="J69" s="432"/>
      <c r="K69" s="432"/>
      <c r="L69" s="433"/>
      <c r="M69" s="82"/>
      <c r="N69" s="82"/>
      <c r="O69" s="101"/>
      <c r="P69" s="100"/>
      <c r="Q69" s="82"/>
      <c r="R69" s="82"/>
      <c r="S69" s="99"/>
      <c r="T69" s="100"/>
      <c r="U69" s="104">
        <v>4900</v>
      </c>
      <c r="V69" s="104"/>
      <c r="W69" s="111">
        <f t="shared" si="12"/>
        <v>-4900</v>
      </c>
      <c r="X69" s="184"/>
      <c r="Y69" s="82"/>
      <c r="Z69" s="82"/>
      <c r="AA69" s="99">
        <f t="shared" si="11"/>
        <v>0</v>
      </c>
      <c r="AB69" s="100"/>
      <c r="AC69" s="105">
        <f t="shared" si="13"/>
        <v>4900</v>
      </c>
      <c r="AD69" s="105">
        <f t="shared" si="14"/>
        <v>0</v>
      </c>
      <c r="AE69" s="111">
        <f t="shared" si="15"/>
        <v>-4900</v>
      </c>
      <c r="AF69" s="100"/>
    </row>
    <row r="70" spans="1:32" ht="18.75" customHeight="1">
      <c r="A70" s="125" t="s">
        <v>629</v>
      </c>
      <c r="B70" s="431" t="s">
        <v>698</v>
      </c>
      <c r="C70" s="432"/>
      <c r="D70" s="432"/>
      <c r="E70" s="432"/>
      <c r="F70" s="432"/>
      <c r="G70" s="432"/>
      <c r="H70" s="432"/>
      <c r="I70" s="432"/>
      <c r="J70" s="432"/>
      <c r="K70" s="432"/>
      <c r="L70" s="433"/>
      <c r="M70" s="82"/>
      <c r="N70" s="82"/>
      <c r="O70" s="101"/>
      <c r="P70" s="100"/>
      <c r="Q70" s="82"/>
      <c r="R70" s="82"/>
      <c r="S70" s="99"/>
      <c r="T70" s="100"/>
      <c r="U70" s="104">
        <v>4000</v>
      </c>
      <c r="V70" s="104">
        <f>851.7+160.6+552.9</f>
        <v>1565.2</v>
      </c>
      <c r="W70" s="111">
        <f t="shared" si="12"/>
        <v>-2434.8000000000002</v>
      </c>
      <c r="X70" s="100">
        <f t="shared" ref="X70" si="16">V70/U70*100</f>
        <v>39.130000000000003</v>
      </c>
      <c r="Y70" s="82"/>
      <c r="Z70" s="82"/>
      <c r="AA70" s="99">
        <f t="shared" si="11"/>
        <v>0</v>
      </c>
      <c r="AB70" s="100"/>
      <c r="AC70" s="105">
        <f t="shared" si="13"/>
        <v>4000</v>
      </c>
      <c r="AD70" s="105">
        <f t="shared" si="14"/>
        <v>1565.2</v>
      </c>
      <c r="AE70" s="111">
        <f t="shared" si="15"/>
        <v>-2434.8000000000002</v>
      </c>
      <c r="AF70" s="100"/>
    </row>
    <row r="71" spans="1:32" ht="18.75" customHeight="1">
      <c r="A71" s="125" t="s">
        <v>630</v>
      </c>
      <c r="B71" s="431" t="s">
        <v>699</v>
      </c>
      <c r="C71" s="432"/>
      <c r="D71" s="432"/>
      <c r="E71" s="432"/>
      <c r="F71" s="432"/>
      <c r="G71" s="432"/>
      <c r="H71" s="432"/>
      <c r="I71" s="432"/>
      <c r="J71" s="432"/>
      <c r="K71" s="432"/>
      <c r="L71" s="433"/>
      <c r="M71" s="82"/>
      <c r="N71" s="82"/>
      <c r="O71" s="101">
        <f>N71-M71</f>
        <v>0</v>
      </c>
      <c r="P71" s="100"/>
      <c r="Q71" s="82"/>
      <c r="R71" s="82"/>
      <c r="S71" s="99">
        <f>R71-Q71</f>
        <v>0</v>
      </c>
      <c r="T71" s="100"/>
      <c r="U71" s="104">
        <v>3000</v>
      </c>
      <c r="V71" s="104"/>
      <c r="W71" s="111">
        <f t="shared" si="12"/>
        <v>-3000</v>
      </c>
      <c r="X71" s="184"/>
      <c r="Y71" s="82"/>
      <c r="Z71" s="82"/>
      <c r="AA71" s="99">
        <f t="shared" si="11"/>
        <v>0</v>
      </c>
      <c r="AB71" s="100"/>
      <c r="AC71" s="105">
        <f t="shared" si="13"/>
        <v>3000</v>
      </c>
      <c r="AD71" s="105">
        <f t="shared" si="14"/>
        <v>0</v>
      </c>
      <c r="AE71" s="111">
        <f t="shared" si="15"/>
        <v>-3000</v>
      </c>
      <c r="AF71" s="100"/>
    </row>
    <row r="72" spans="1:32" ht="18.75" customHeight="1">
      <c r="A72" s="125" t="s">
        <v>646</v>
      </c>
      <c r="B72" s="431" t="s">
        <v>700</v>
      </c>
      <c r="C72" s="432"/>
      <c r="D72" s="432"/>
      <c r="E72" s="432"/>
      <c r="F72" s="432"/>
      <c r="G72" s="432"/>
      <c r="H72" s="432"/>
      <c r="I72" s="432"/>
      <c r="J72" s="432"/>
      <c r="K72" s="432"/>
      <c r="L72" s="433"/>
      <c r="M72" s="82"/>
      <c r="N72" s="82"/>
      <c r="O72" s="101"/>
      <c r="P72" s="100"/>
      <c r="Q72" s="82"/>
      <c r="R72" s="82"/>
      <c r="S72" s="99"/>
      <c r="T72" s="100"/>
      <c r="U72" s="104">
        <v>160</v>
      </c>
      <c r="V72" s="104"/>
      <c r="W72" s="111">
        <f>V72-U72</f>
        <v>-160</v>
      </c>
      <c r="X72" s="100">
        <f>V72/U72*100</f>
        <v>0</v>
      </c>
      <c r="Y72" s="82"/>
      <c r="Z72" s="82"/>
      <c r="AA72" s="99"/>
      <c r="AB72" s="100"/>
      <c r="AC72" s="105">
        <f t="shared" ref="AC72:AC79" si="17">SUM(M72,Q72,U72,Y72)</f>
        <v>160</v>
      </c>
      <c r="AD72" s="105">
        <f t="shared" ref="AD72:AD79" si="18">SUM(N72,R72,V72,Z72)</f>
        <v>0</v>
      </c>
      <c r="AE72" s="111">
        <f t="shared" ref="AE72:AE79" si="19">AD72-AC72</f>
        <v>-160</v>
      </c>
      <c r="AF72" s="100">
        <f t="shared" ref="AF72:AF79" si="20">AD72/AC72*100</f>
        <v>0</v>
      </c>
    </row>
    <row r="73" spans="1:32" ht="18.75" customHeight="1">
      <c r="A73" s="125" t="s">
        <v>647</v>
      </c>
      <c r="B73" s="431" t="s">
        <v>728</v>
      </c>
      <c r="C73" s="432"/>
      <c r="D73" s="432"/>
      <c r="E73" s="432"/>
      <c r="F73" s="432"/>
      <c r="G73" s="432"/>
      <c r="H73" s="432"/>
      <c r="I73" s="432"/>
      <c r="J73" s="432"/>
      <c r="K73" s="432"/>
      <c r="L73" s="433"/>
      <c r="M73" s="82"/>
      <c r="N73" s="82"/>
      <c r="O73" s="101"/>
      <c r="P73" s="100"/>
      <c r="Q73" s="82"/>
      <c r="R73" s="82"/>
      <c r="S73" s="99"/>
      <c r="T73" s="100"/>
      <c r="U73" s="104"/>
      <c r="V73" s="104">
        <v>54.2</v>
      </c>
      <c r="W73" s="111">
        <f t="shared" ref="W73:W79" si="21">V73-U73</f>
        <v>54.2</v>
      </c>
      <c r="X73" s="100"/>
      <c r="Y73" s="82"/>
      <c r="Z73" s="82"/>
      <c r="AA73" s="99"/>
      <c r="AB73" s="100"/>
      <c r="AC73" s="105">
        <f t="shared" si="17"/>
        <v>0</v>
      </c>
      <c r="AD73" s="105">
        <f t="shared" si="18"/>
        <v>54.2</v>
      </c>
      <c r="AE73" s="111">
        <f t="shared" si="19"/>
        <v>54.2</v>
      </c>
      <c r="AF73" s="100" t="e">
        <f t="shared" si="20"/>
        <v>#DIV/0!</v>
      </c>
    </row>
    <row r="74" spans="1:32" ht="18.75" customHeight="1">
      <c r="A74" s="125" t="s">
        <v>648</v>
      </c>
      <c r="B74" s="431" t="s">
        <v>729</v>
      </c>
      <c r="C74" s="432"/>
      <c r="D74" s="432"/>
      <c r="E74" s="432"/>
      <c r="F74" s="432"/>
      <c r="G74" s="432"/>
      <c r="H74" s="432"/>
      <c r="I74" s="432"/>
      <c r="J74" s="432"/>
      <c r="K74" s="432"/>
      <c r="L74" s="433"/>
      <c r="M74" s="82"/>
      <c r="N74" s="82"/>
      <c r="O74" s="101"/>
      <c r="P74" s="100"/>
      <c r="Q74" s="82"/>
      <c r="R74" s="82"/>
      <c r="S74" s="99"/>
      <c r="T74" s="100"/>
      <c r="U74" s="104"/>
      <c r="V74" s="104">
        <f>23.2+2.6</f>
        <v>25.8</v>
      </c>
      <c r="W74" s="111">
        <f t="shared" si="21"/>
        <v>25.8</v>
      </c>
      <c r="X74" s="100"/>
      <c r="Y74" s="82"/>
      <c r="Z74" s="82"/>
      <c r="AA74" s="99"/>
      <c r="AB74" s="100"/>
      <c r="AC74" s="105">
        <f t="shared" si="17"/>
        <v>0</v>
      </c>
      <c r="AD74" s="105">
        <f t="shared" si="18"/>
        <v>25.8</v>
      </c>
      <c r="AE74" s="111">
        <f t="shared" si="19"/>
        <v>25.8</v>
      </c>
      <c r="AF74" s="100" t="e">
        <f t="shared" si="20"/>
        <v>#DIV/0!</v>
      </c>
    </row>
    <row r="75" spans="1:32" ht="18.75" customHeight="1">
      <c r="A75" s="125" t="s">
        <v>660</v>
      </c>
      <c r="B75" s="431" t="s">
        <v>741</v>
      </c>
      <c r="C75" s="432"/>
      <c r="D75" s="432"/>
      <c r="E75" s="432"/>
      <c r="F75" s="432"/>
      <c r="G75" s="432"/>
      <c r="H75" s="432"/>
      <c r="I75" s="432"/>
      <c r="J75" s="432"/>
      <c r="K75" s="432"/>
      <c r="L75" s="433"/>
      <c r="M75" s="82"/>
      <c r="N75" s="82"/>
      <c r="O75" s="101"/>
      <c r="P75" s="100"/>
      <c r="Q75" s="82"/>
      <c r="R75" s="82"/>
      <c r="S75" s="99"/>
      <c r="T75" s="100"/>
      <c r="U75" s="104"/>
      <c r="V75" s="104">
        <v>8.9</v>
      </c>
      <c r="W75" s="111">
        <f t="shared" si="21"/>
        <v>8.9</v>
      </c>
      <c r="X75" s="100"/>
      <c r="Y75" s="82"/>
      <c r="Z75" s="82"/>
      <c r="AA75" s="99"/>
      <c r="AB75" s="100"/>
      <c r="AC75" s="105">
        <f t="shared" si="17"/>
        <v>0</v>
      </c>
      <c r="AD75" s="105">
        <f t="shared" si="18"/>
        <v>8.9</v>
      </c>
      <c r="AE75" s="111">
        <f t="shared" si="19"/>
        <v>8.9</v>
      </c>
      <c r="AF75" s="100" t="e">
        <f t="shared" si="20"/>
        <v>#DIV/0!</v>
      </c>
    </row>
    <row r="76" spans="1:32" ht="18.75" hidden="1" customHeight="1">
      <c r="A76" s="125" t="s">
        <v>661</v>
      </c>
      <c r="B76" s="431"/>
      <c r="C76" s="432"/>
      <c r="D76" s="432"/>
      <c r="E76" s="432"/>
      <c r="F76" s="432"/>
      <c r="G76" s="432"/>
      <c r="H76" s="432"/>
      <c r="I76" s="432"/>
      <c r="J76" s="432"/>
      <c r="K76" s="432"/>
      <c r="L76" s="433"/>
      <c r="M76" s="82"/>
      <c r="N76" s="82"/>
      <c r="O76" s="101"/>
      <c r="P76" s="100"/>
      <c r="Q76" s="82"/>
      <c r="R76" s="82"/>
      <c r="S76" s="99"/>
      <c r="T76" s="100"/>
      <c r="U76" s="104"/>
      <c r="V76" s="104"/>
      <c r="W76" s="111">
        <f t="shared" si="21"/>
        <v>0</v>
      </c>
      <c r="X76" s="100"/>
      <c r="Y76" s="82"/>
      <c r="Z76" s="82"/>
      <c r="AA76" s="99"/>
      <c r="AB76" s="100"/>
      <c r="AC76" s="105">
        <f t="shared" si="17"/>
        <v>0</v>
      </c>
      <c r="AD76" s="105">
        <f t="shared" si="18"/>
        <v>0</v>
      </c>
      <c r="AE76" s="111">
        <f t="shared" si="19"/>
        <v>0</v>
      </c>
      <c r="AF76" s="100" t="e">
        <f t="shared" si="20"/>
        <v>#DIV/0!</v>
      </c>
    </row>
    <row r="77" spans="1:32" ht="18.75" hidden="1" customHeight="1">
      <c r="A77" s="125" t="s">
        <v>662</v>
      </c>
      <c r="B77" s="431"/>
      <c r="C77" s="432"/>
      <c r="D77" s="432"/>
      <c r="E77" s="432"/>
      <c r="F77" s="432"/>
      <c r="G77" s="432"/>
      <c r="H77" s="432"/>
      <c r="I77" s="432"/>
      <c r="J77" s="432"/>
      <c r="K77" s="432"/>
      <c r="L77" s="433"/>
      <c r="M77" s="82"/>
      <c r="N77" s="82"/>
      <c r="O77" s="101"/>
      <c r="P77" s="100"/>
      <c r="Q77" s="82"/>
      <c r="R77" s="82"/>
      <c r="S77" s="99"/>
      <c r="T77" s="100"/>
      <c r="U77" s="104"/>
      <c r="V77" s="104"/>
      <c r="W77" s="111">
        <f t="shared" si="21"/>
        <v>0</v>
      </c>
      <c r="X77" s="100"/>
      <c r="Y77" s="82"/>
      <c r="Z77" s="82"/>
      <c r="AA77" s="99"/>
      <c r="AB77" s="100"/>
      <c r="AC77" s="105">
        <f t="shared" si="17"/>
        <v>0</v>
      </c>
      <c r="AD77" s="105">
        <f t="shared" si="18"/>
        <v>0</v>
      </c>
      <c r="AE77" s="111">
        <f t="shared" si="19"/>
        <v>0</v>
      </c>
      <c r="AF77" s="100" t="e">
        <f t="shared" si="20"/>
        <v>#DIV/0!</v>
      </c>
    </row>
    <row r="78" spans="1:32" ht="39" hidden="1" customHeight="1">
      <c r="A78" s="125" t="s">
        <v>663</v>
      </c>
      <c r="B78" s="431"/>
      <c r="C78" s="432"/>
      <c r="D78" s="432"/>
      <c r="E78" s="432"/>
      <c r="F78" s="432"/>
      <c r="G78" s="432"/>
      <c r="H78" s="432"/>
      <c r="I78" s="432"/>
      <c r="J78" s="432"/>
      <c r="K78" s="432"/>
      <c r="L78" s="433"/>
      <c r="M78" s="82"/>
      <c r="N78" s="82"/>
      <c r="O78" s="101"/>
      <c r="P78" s="100"/>
      <c r="Q78" s="82"/>
      <c r="R78" s="82"/>
      <c r="S78" s="99"/>
      <c r="T78" s="100"/>
      <c r="U78" s="104"/>
      <c r="V78" s="104"/>
      <c r="W78" s="111">
        <f t="shared" si="21"/>
        <v>0</v>
      </c>
      <c r="X78" s="100"/>
      <c r="Y78" s="82"/>
      <c r="Z78" s="82"/>
      <c r="AA78" s="99"/>
      <c r="AB78" s="100"/>
      <c r="AC78" s="105">
        <f t="shared" si="17"/>
        <v>0</v>
      </c>
      <c r="AD78" s="105">
        <f t="shared" si="18"/>
        <v>0</v>
      </c>
      <c r="AE78" s="111">
        <f t="shared" si="19"/>
        <v>0</v>
      </c>
      <c r="AF78" s="100" t="e">
        <f t="shared" si="20"/>
        <v>#DIV/0!</v>
      </c>
    </row>
    <row r="79" spans="1:32" ht="18.75" hidden="1" customHeight="1">
      <c r="A79" s="125" t="s">
        <v>664</v>
      </c>
      <c r="B79" s="431"/>
      <c r="C79" s="432"/>
      <c r="D79" s="432"/>
      <c r="E79" s="432"/>
      <c r="F79" s="432"/>
      <c r="G79" s="432"/>
      <c r="H79" s="432"/>
      <c r="I79" s="432"/>
      <c r="J79" s="432"/>
      <c r="K79" s="432"/>
      <c r="L79" s="433"/>
      <c r="M79" s="82"/>
      <c r="N79" s="82"/>
      <c r="O79" s="101"/>
      <c r="P79" s="100"/>
      <c r="Q79" s="82"/>
      <c r="R79" s="82"/>
      <c r="S79" s="99"/>
      <c r="T79" s="100"/>
      <c r="U79" s="104"/>
      <c r="V79" s="104"/>
      <c r="W79" s="111">
        <f t="shared" si="21"/>
        <v>0</v>
      </c>
      <c r="X79" s="100"/>
      <c r="Y79" s="82"/>
      <c r="Z79" s="82"/>
      <c r="AA79" s="99"/>
      <c r="AB79" s="100"/>
      <c r="AC79" s="105">
        <f t="shared" si="17"/>
        <v>0</v>
      </c>
      <c r="AD79" s="105">
        <f t="shared" si="18"/>
        <v>0</v>
      </c>
      <c r="AE79" s="111">
        <f t="shared" si="19"/>
        <v>0</v>
      </c>
      <c r="AF79" s="100" t="e">
        <f t="shared" si="20"/>
        <v>#DIV/0!</v>
      </c>
    </row>
    <row r="80" spans="1:32" ht="18.75" hidden="1" customHeight="1">
      <c r="A80" s="125"/>
      <c r="B80" s="431"/>
      <c r="C80" s="432"/>
      <c r="D80" s="432"/>
      <c r="E80" s="432"/>
      <c r="F80" s="432"/>
      <c r="G80" s="432"/>
      <c r="H80" s="432"/>
      <c r="I80" s="432"/>
      <c r="J80" s="432"/>
      <c r="K80" s="432"/>
      <c r="L80" s="433"/>
      <c r="M80" s="82"/>
      <c r="N80" s="82"/>
      <c r="O80" s="101"/>
      <c r="P80" s="100"/>
      <c r="Q80" s="82"/>
      <c r="R80" s="82"/>
      <c r="S80" s="99"/>
      <c r="T80" s="100"/>
      <c r="U80" s="104"/>
      <c r="V80" s="104"/>
      <c r="W80" s="111"/>
      <c r="X80" s="100"/>
      <c r="Y80" s="82"/>
      <c r="Z80" s="82"/>
      <c r="AA80" s="99"/>
      <c r="AB80" s="100"/>
      <c r="AC80" s="105"/>
      <c r="AD80" s="105"/>
      <c r="AE80" s="111"/>
      <c r="AF80" s="100"/>
    </row>
    <row r="81" spans="1:32" ht="18.75" hidden="1" customHeight="1">
      <c r="A81" s="125"/>
      <c r="B81" s="431"/>
      <c r="C81" s="432"/>
      <c r="D81" s="432"/>
      <c r="E81" s="432"/>
      <c r="F81" s="432"/>
      <c r="G81" s="432"/>
      <c r="H81" s="432"/>
      <c r="I81" s="432"/>
      <c r="J81" s="432"/>
      <c r="K81" s="432"/>
      <c r="L81" s="433"/>
      <c r="M81" s="82"/>
      <c r="N81" s="82"/>
      <c r="O81" s="101"/>
      <c r="P81" s="100"/>
      <c r="Q81" s="82"/>
      <c r="R81" s="82"/>
      <c r="S81" s="99"/>
      <c r="T81" s="100"/>
      <c r="U81" s="104"/>
      <c r="V81" s="104"/>
      <c r="W81" s="111"/>
      <c r="X81" s="100"/>
      <c r="Y81" s="82"/>
      <c r="Z81" s="82"/>
      <c r="AA81" s="99"/>
      <c r="AB81" s="100"/>
      <c r="AC81" s="105"/>
      <c r="AD81" s="105"/>
      <c r="AE81" s="111"/>
      <c r="AF81" s="100"/>
    </row>
    <row r="82" spans="1:32" ht="18.75" hidden="1" customHeight="1">
      <c r="A82" s="125"/>
      <c r="B82" s="431"/>
      <c r="C82" s="432"/>
      <c r="D82" s="432"/>
      <c r="E82" s="432"/>
      <c r="F82" s="432"/>
      <c r="G82" s="432"/>
      <c r="H82" s="432"/>
      <c r="I82" s="432"/>
      <c r="J82" s="432"/>
      <c r="K82" s="432"/>
      <c r="L82" s="433"/>
      <c r="M82" s="82"/>
      <c r="N82" s="82"/>
      <c r="O82" s="101"/>
      <c r="P82" s="100"/>
      <c r="Q82" s="82"/>
      <c r="R82" s="82"/>
      <c r="S82" s="99"/>
      <c r="T82" s="100"/>
      <c r="U82" s="104"/>
      <c r="V82" s="104"/>
      <c r="W82" s="111">
        <f>V82-U82</f>
        <v>0</v>
      </c>
      <c r="X82" s="100"/>
      <c r="Y82" s="82"/>
      <c r="Z82" s="82"/>
      <c r="AA82" s="99"/>
      <c r="AB82" s="100"/>
      <c r="AC82" s="105"/>
      <c r="AD82" s="105"/>
      <c r="AE82" s="111">
        <f t="shared" si="15"/>
        <v>0</v>
      </c>
      <c r="AF82" s="100" t="e">
        <f>AD82/AC82*100</f>
        <v>#DIV/0!</v>
      </c>
    </row>
    <row r="83" spans="1:32" s="14" customFormat="1" ht="18.75" customHeight="1">
      <c r="A83" s="123" t="s">
        <v>400</v>
      </c>
      <c r="B83" s="434" t="s">
        <v>401</v>
      </c>
      <c r="C83" s="435"/>
      <c r="D83" s="435"/>
      <c r="E83" s="435"/>
      <c r="F83" s="435"/>
      <c r="G83" s="435"/>
      <c r="H83" s="435"/>
      <c r="I83" s="435"/>
      <c r="J83" s="435"/>
      <c r="K83" s="435"/>
      <c r="L83" s="436"/>
      <c r="M83" s="163">
        <f>M84+M85+M86</f>
        <v>0</v>
      </c>
      <c r="N83" s="163">
        <f>N84+N85+N86</f>
        <v>0</v>
      </c>
      <c r="O83" s="185">
        <f>N83-M83</f>
        <v>0</v>
      </c>
      <c r="P83" s="184"/>
      <c r="Q83" s="163">
        <f>Q84+Q85+Q86</f>
        <v>0</v>
      </c>
      <c r="R83" s="163">
        <f>R84+R85+R86</f>
        <v>0</v>
      </c>
      <c r="S83" s="186">
        <f>R83-Q83</f>
        <v>0</v>
      </c>
      <c r="T83" s="184"/>
      <c r="U83" s="163">
        <f>SUM(U84:U91)</f>
        <v>7850</v>
      </c>
      <c r="V83" s="163">
        <f>SUM(V84:V91)</f>
        <v>70.5</v>
      </c>
      <c r="W83" s="181">
        <f t="shared" si="12"/>
        <v>-7779.5</v>
      </c>
      <c r="X83" s="184">
        <f>V83/U83*100</f>
        <v>0.89808917197452232</v>
      </c>
      <c r="Y83" s="163">
        <f>Y84+Y85+Y86</f>
        <v>0</v>
      </c>
      <c r="Z83" s="163">
        <f>Z84+Z85+Z86</f>
        <v>0</v>
      </c>
      <c r="AA83" s="186">
        <f>Z83-Y83</f>
        <v>0</v>
      </c>
      <c r="AB83" s="184"/>
      <c r="AC83" s="136">
        <f t="shared" si="13"/>
        <v>7850</v>
      </c>
      <c r="AD83" s="136">
        <f>SUM(N83,R83,V83,Z83)</f>
        <v>70.5</v>
      </c>
      <c r="AE83" s="181">
        <f t="shared" si="15"/>
        <v>-7779.5</v>
      </c>
      <c r="AF83" s="184">
        <f>AD83/AC83*100</f>
        <v>0.89808917197452232</v>
      </c>
    </row>
    <row r="84" spans="1:32" ht="18.75" customHeight="1">
      <c r="A84" s="125" t="s">
        <v>631</v>
      </c>
      <c r="B84" s="431" t="s">
        <v>701</v>
      </c>
      <c r="C84" s="432"/>
      <c r="D84" s="432"/>
      <c r="E84" s="432"/>
      <c r="F84" s="432"/>
      <c r="G84" s="432"/>
      <c r="H84" s="432"/>
      <c r="I84" s="432"/>
      <c r="J84" s="432"/>
      <c r="K84" s="432"/>
      <c r="L84" s="433"/>
      <c r="M84" s="82"/>
      <c r="N84" s="82"/>
      <c r="O84" s="101"/>
      <c r="P84" s="100"/>
      <c r="Q84" s="82"/>
      <c r="R84" s="82"/>
      <c r="S84" s="99"/>
      <c r="T84" s="100"/>
      <c r="U84" s="104">
        <v>5000</v>
      </c>
      <c r="V84" s="104"/>
      <c r="W84" s="111">
        <f t="shared" si="12"/>
        <v>-5000</v>
      </c>
      <c r="X84" s="184"/>
      <c r="Y84" s="82"/>
      <c r="Z84" s="82"/>
      <c r="AA84" s="99"/>
      <c r="AB84" s="100"/>
      <c r="AC84" s="105">
        <f t="shared" si="13"/>
        <v>5000</v>
      </c>
      <c r="AD84" s="105">
        <f>SUM(N84,R84,V84,Z84)</f>
        <v>0</v>
      </c>
      <c r="AE84" s="111">
        <f>AD84-AC84</f>
        <v>-5000</v>
      </c>
      <c r="AF84" s="100">
        <f>AD84/AC84*100</f>
        <v>0</v>
      </c>
    </row>
    <row r="85" spans="1:32" ht="18.75" customHeight="1">
      <c r="A85" s="125" t="s">
        <v>632</v>
      </c>
      <c r="B85" s="431" t="s">
        <v>702</v>
      </c>
      <c r="C85" s="432"/>
      <c r="D85" s="432"/>
      <c r="E85" s="432"/>
      <c r="F85" s="432"/>
      <c r="G85" s="432"/>
      <c r="H85" s="432"/>
      <c r="I85" s="432"/>
      <c r="J85" s="432"/>
      <c r="K85" s="432"/>
      <c r="L85" s="433"/>
      <c r="M85" s="82"/>
      <c r="N85" s="82"/>
      <c r="O85" s="101"/>
      <c r="P85" s="100"/>
      <c r="Q85" s="82"/>
      <c r="R85" s="82"/>
      <c r="S85" s="99"/>
      <c r="T85" s="100"/>
      <c r="U85" s="104">
        <v>2850</v>
      </c>
      <c r="V85" s="104"/>
      <c r="W85" s="111">
        <f t="shared" si="12"/>
        <v>-2850</v>
      </c>
      <c r="X85" s="184"/>
      <c r="Y85" s="82"/>
      <c r="Z85" s="82"/>
      <c r="AA85" s="99"/>
      <c r="AB85" s="100"/>
      <c r="AC85" s="105">
        <f t="shared" si="13"/>
        <v>2850</v>
      </c>
      <c r="AD85" s="105">
        <f>SUM(N85,R85,V85,Z85)</f>
        <v>0</v>
      </c>
      <c r="AE85" s="111">
        <f>AD85-AC85</f>
        <v>-2850</v>
      </c>
      <c r="AF85" s="100"/>
    </row>
    <row r="86" spans="1:32" ht="30" customHeight="1">
      <c r="A86" s="125" t="s">
        <v>633</v>
      </c>
      <c r="B86" s="431" t="s">
        <v>706</v>
      </c>
      <c r="C86" s="432"/>
      <c r="D86" s="432"/>
      <c r="E86" s="432"/>
      <c r="F86" s="432"/>
      <c r="G86" s="432"/>
      <c r="H86" s="432"/>
      <c r="I86" s="432"/>
      <c r="J86" s="432"/>
      <c r="K86" s="432"/>
      <c r="L86" s="433"/>
      <c r="M86" s="82"/>
      <c r="N86" s="82"/>
      <c r="O86" s="101"/>
      <c r="P86" s="100"/>
      <c r="Q86" s="82"/>
      <c r="R86" s="82"/>
      <c r="S86" s="99"/>
      <c r="T86" s="100"/>
      <c r="U86" s="104"/>
      <c r="V86" s="104">
        <f>24.2</f>
        <v>24.2</v>
      </c>
      <c r="W86" s="111">
        <f t="shared" si="12"/>
        <v>24.2</v>
      </c>
      <c r="X86" s="184"/>
      <c r="Y86" s="82"/>
      <c r="Z86" s="82"/>
      <c r="AA86" s="99"/>
      <c r="AB86" s="100"/>
      <c r="AC86" s="105">
        <f t="shared" si="13"/>
        <v>0</v>
      </c>
      <c r="AD86" s="105">
        <f>SUM(N86,R86,V86,Z86)</f>
        <v>24.2</v>
      </c>
      <c r="AE86" s="111">
        <f t="shared" si="15"/>
        <v>24.2</v>
      </c>
      <c r="AF86" s="100"/>
    </row>
    <row r="87" spans="1:32" ht="18.75" customHeight="1">
      <c r="A87" s="125" t="s">
        <v>649</v>
      </c>
      <c r="B87" s="431" t="s">
        <v>730</v>
      </c>
      <c r="C87" s="432"/>
      <c r="D87" s="432"/>
      <c r="E87" s="432"/>
      <c r="F87" s="432"/>
      <c r="G87" s="432"/>
      <c r="H87" s="432"/>
      <c r="I87" s="432"/>
      <c r="J87" s="432"/>
      <c r="K87" s="432"/>
      <c r="L87" s="433"/>
      <c r="M87" s="82"/>
      <c r="N87" s="82"/>
      <c r="O87" s="101"/>
      <c r="P87" s="100"/>
      <c r="Q87" s="82"/>
      <c r="R87" s="82"/>
      <c r="S87" s="99"/>
      <c r="T87" s="100"/>
      <c r="U87" s="104"/>
      <c r="V87" s="104">
        <f>3.7+3.7+38.9</f>
        <v>46.3</v>
      </c>
      <c r="W87" s="111">
        <f>V87-U87</f>
        <v>46.3</v>
      </c>
      <c r="X87" s="184"/>
      <c r="Y87" s="82"/>
      <c r="Z87" s="82"/>
      <c r="AA87" s="99"/>
      <c r="AB87" s="100"/>
      <c r="AC87" s="105"/>
      <c r="AD87" s="105">
        <f>SUM(N87,R87,V87,Z87)</f>
        <v>46.3</v>
      </c>
      <c r="AE87" s="111">
        <f>AD87-AC87</f>
        <v>46.3</v>
      </c>
      <c r="AF87" s="100"/>
    </row>
    <row r="88" spans="1:32" ht="18.75" hidden="1" customHeight="1">
      <c r="A88" s="125" t="s">
        <v>650</v>
      </c>
      <c r="B88" s="431"/>
      <c r="C88" s="432"/>
      <c r="D88" s="432"/>
      <c r="E88" s="432"/>
      <c r="F88" s="432"/>
      <c r="G88" s="432"/>
      <c r="H88" s="432"/>
      <c r="I88" s="432"/>
      <c r="J88" s="432"/>
      <c r="K88" s="432"/>
      <c r="L88" s="433"/>
      <c r="M88" s="82"/>
      <c r="N88" s="82"/>
      <c r="O88" s="101"/>
      <c r="P88" s="100"/>
      <c r="Q88" s="82"/>
      <c r="R88" s="82"/>
      <c r="S88" s="99"/>
      <c r="T88" s="100"/>
      <c r="U88" s="104"/>
      <c r="V88" s="104"/>
      <c r="W88" s="111"/>
      <c r="X88" s="184"/>
      <c r="Y88" s="82"/>
      <c r="Z88" s="82"/>
      <c r="AA88" s="99"/>
      <c r="AB88" s="100"/>
      <c r="AC88" s="105"/>
      <c r="AD88" s="105"/>
      <c r="AE88" s="111">
        <f t="shared" si="15"/>
        <v>0</v>
      </c>
      <c r="AF88" s="100" t="e">
        <f>AD88/AC88*100</f>
        <v>#DIV/0!</v>
      </c>
    </row>
    <row r="89" spans="1:32" ht="36" hidden="1" customHeight="1">
      <c r="A89" s="125" t="s">
        <v>651</v>
      </c>
      <c r="B89" s="431"/>
      <c r="C89" s="432"/>
      <c r="D89" s="432"/>
      <c r="E89" s="432"/>
      <c r="F89" s="432"/>
      <c r="G89" s="432"/>
      <c r="H89" s="432"/>
      <c r="I89" s="432"/>
      <c r="J89" s="432"/>
      <c r="K89" s="432"/>
      <c r="L89" s="433"/>
      <c r="M89" s="82"/>
      <c r="N89" s="82"/>
      <c r="O89" s="101"/>
      <c r="P89" s="100"/>
      <c r="Q89" s="82"/>
      <c r="R89" s="82"/>
      <c r="S89" s="99"/>
      <c r="T89" s="100"/>
      <c r="U89" s="104"/>
      <c r="V89" s="104"/>
      <c r="W89" s="111"/>
      <c r="X89" s="184"/>
      <c r="Y89" s="82"/>
      <c r="Z89" s="82"/>
      <c r="AA89" s="99"/>
      <c r="AB89" s="100"/>
      <c r="AC89" s="105"/>
      <c r="AD89" s="105"/>
      <c r="AE89" s="111">
        <f t="shared" si="15"/>
        <v>0</v>
      </c>
      <c r="AF89" s="100" t="e">
        <f>AD89/AC89*100</f>
        <v>#DIV/0!</v>
      </c>
    </row>
    <row r="90" spans="1:32" ht="18.75" hidden="1" customHeight="1">
      <c r="A90" s="125" t="s">
        <v>652</v>
      </c>
      <c r="B90" s="431"/>
      <c r="C90" s="432"/>
      <c r="D90" s="432"/>
      <c r="E90" s="432"/>
      <c r="F90" s="432"/>
      <c r="G90" s="432"/>
      <c r="H90" s="432"/>
      <c r="I90" s="432"/>
      <c r="J90" s="432"/>
      <c r="K90" s="432"/>
      <c r="L90" s="433"/>
      <c r="M90" s="82"/>
      <c r="N90" s="82"/>
      <c r="O90" s="101"/>
      <c r="P90" s="100"/>
      <c r="Q90" s="82"/>
      <c r="R90" s="82"/>
      <c r="S90" s="99"/>
      <c r="T90" s="100"/>
      <c r="U90" s="104"/>
      <c r="V90" s="104"/>
      <c r="W90" s="111"/>
      <c r="X90" s="184"/>
      <c r="Y90" s="82"/>
      <c r="Z90" s="82"/>
      <c r="AA90" s="99"/>
      <c r="AB90" s="100"/>
      <c r="AC90" s="105"/>
      <c r="AD90" s="105"/>
      <c r="AE90" s="111">
        <f t="shared" si="15"/>
        <v>0</v>
      </c>
      <c r="AF90" s="100" t="e">
        <f>AD90/AC90*100</f>
        <v>#DIV/0!</v>
      </c>
    </row>
    <row r="91" spans="1:32" ht="18.75" hidden="1" customHeight="1">
      <c r="A91" s="125" t="s">
        <v>653</v>
      </c>
      <c r="B91" s="431"/>
      <c r="C91" s="432"/>
      <c r="D91" s="432"/>
      <c r="E91" s="432"/>
      <c r="F91" s="432"/>
      <c r="G91" s="432"/>
      <c r="H91" s="432"/>
      <c r="I91" s="432"/>
      <c r="J91" s="432"/>
      <c r="K91" s="432"/>
      <c r="L91" s="433"/>
      <c r="M91" s="82"/>
      <c r="N91" s="82"/>
      <c r="O91" s="101"/>
      <c r="P91" s="100"/>
      <c r="Q91" s="82"/>
      <c r="R91" s="82"/>
      <c r="S91" s="99"/>
      <c r="T91" s="100"/>
      <c r="U91" s="104"/>
      <c r="V91" s="104"/>
      <c r="W91" s="111"/>
      <c r="X91" s="100"/>
      <c r="Y91" s="82"/>
      <c r="Z91" s="82"/>
      <c r="AA91" s="99"/>
      <c r="AB91" s="100"/>
      <c r="AC91" s="105"/>
      <c r="AD91" s="105"/>
      <c r="AE91" s="111">
        <f t="shared" si="15"/>
        <v>0</v>
      </c>
      <c r="AF91" s="100" t="e">
        <f>AD91/AC91*100</f>
        <v>#DIV/0!</v>
      </c>
    </row>
    <row r="92" spans="1:32" s="14" customFormat="1" ht="24.95" customHeight="1">
      <c r="A92" s="445" t="s">
        <v>63</v>
      </c>
      <c r="B92" s="446"/>
      <c r="C92" s="446"/>
      <c r="D92" s="446"/>
      <c r="E92" s="446"/>
      <c r="F92" s="446"/>
      <c r="G92" s="446"/>
      <c r="H92" s="446"/>
      <c r="I92" s="446"/>
      <c r="J92" s="446"/>
      <c r="K92" s="446"/>
      <c r="L92" s="447"/>
      <c r="M92" s="186">
        <f>M31+M33+M55+M61+M63+M83</f>
        <v>0</v>
      </c>
      <c r="N92" s="186">
        <f>N31+N33+N55+N61+N63+N83</f>
        <v>0</v>
      </c>
      <c r="O92" s="186">
        <f>O31+O33+O55+O61+O63+O83</f>
        <v>0</v>
      </c>
      <c r="P92" s="184"/>
      <c r="Q92" s="186">
        <f>Q31+Q33+Q55+Q61+Q63+Q83</f>
        <v>0</v>
      </c>
      <c r="R92" s="186">
        <f>R31+R33+R55+R61+R63+R83</f>
        <v>0</v>
      </c>
      <c r="S92" s="186"/>
      <c r="T92" s="184"/>
      <c r="U92" s="136">
        <f>U31+U33+U55+U61+U63+U83</f>
        <v>34258.6</v>
      </c>
      <c r="V92" s="136">
        <f>V31+V33+V55+V61+V63+V83</f>
        <v>7377.4</v>
      </c>
      <c r="W92" s="181">
        <f>W31+W33+W55+W61+W63+W83</f>
        <v>-26881.200000000001</v>
      </c>
      <c r="X92" s="184">
        <f>V92/U92*100</f>
        <v>21.534446825030795</v>
      </c>
      <c r="Y92" s="186">
        <f>Y31+Y33+Y55+Y61+Y63+Y83</f>
        <v>0</v>
      </c>
      <c r="Z92" s="186">
        <f>Z31+Z33+Z55+Z61+Z63+Z83</f>
        <v>0</v>
      </c>
      <c r="AA92" s="186">
        <f>AA31+AA33+AA55+AA61+AA63+AA83</f>
        <v>0</v>
      </c>
      <c r="AB92" s="184"/>
      <c r="AC92" s="136">
        <f>AC31+AC33+AC55+AC61+AC63+AC83</f>
        <v>34258.6</v>
      </c>
      <c r="AD92" s="136">
        <f>AD31+AD33+AD55+AD61+AD63+AD83</f>
        <v>7377.4</v>
      </c>
      <c r="AE92" s="181">
        <f>AE31+AE33+AE55+AE61+AE63+AE83</f>
        <v>-26881.200000000001</v>
      </c>
      <c r="AF92" s="184">
        <f>AD92/AC92*100</f>
        <v>21.534446825030795</v>
      </c>
    </row>
    <row r="93" spans="1:32" ht="24.95" customHeight="1">
      <c r="A93" s="437" t="s">
        <v>64</v>
      </c>
      <c r="B93" s="438"/>
      <c r="C93" s="438"/>
      <c r="D93" s="438"/>
      <c r="E93" s="438"/>
      <c r="F93" s="438"/>
      <c r="G93" s="438"/>
      <c r="H93" s="438"/>
      <c r="I93" s="438"/>
      <c r="J93" s="438"/>
      <c r="K93" s="438"/>
      <c r="L93" s="439"/>
      <c r="M93" s="100">
        <f>M92/AC92*100</f>
        <v>0</v>
      </c>
      <c r="N93" s="100">
        <f>N92/AD92*100</f>
        <v>0</v>
      </c>
      <c r="O93" s="81"/>
      <c r="P93" s="81"/>
      <c r="Q93" s="100">
        <f>Q92/AC92*100</f>
        <v>0</v>
      </c>
      <c r="R93" s="100">
        <f>R92/AD92*100</f>
        <v>0</v>
      </c>
      <c r="S93" s="81"/>
      <c r="T93" s="81"/>
      <c r="U93" s="100">
        <f>U92/AC92*100</f>
        <v>100</v>
      </c>
      <c r="V93" s="100">
        <f>V92/AD92*100</f>
        <v>100</v>
      </c>
      <c r="W93" s="81"/>
      <c r="X93" s="81"/>
      <c r="Y93" s="100">
        <f>Y92/AC92*100</f>
        <v>0</v>
      </c>
      <c r="Z93" s="100">
        <f>Z92/AD92*100</f>
        <v>0</v>
      </c>
      <c r="AA93" s="81"/>
      <c r="AB93" s="81"/>
      <c r="AC93" s="100">
        <f>SUM(M93,Q93,U93,Y93)</f>
        <v>100</v>
      </c>
      <c r="AD93" s="100">
        <f>SUM(N93,R93,V93,Z93)</f>
        <v>100</v>
      </c>
      <c r="AE93" s="81"/>
      <c r="AF93" s="81"/>
    </row>
    <row r="94" spans="1:32" ht="15" customHeight="1">
      <c r="A94" s="15"/>
      <c r="B94" s="15"/>
      <c r="C94" s="1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32" ht="15" customHeight="1">
      <c r="A95" s="15"/>
      <c r="B95" s="15"/>
      <c r="C95" s="1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32" s="41" customFormat="1" ht="31.5" customHeight="1">
      <c r="C96" s="41" t="s">
        <v>214</v>
      </c>
    </row>
    <row r="97" spans="1:32" s="74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L97" s="1"/>
      <c r="AD97" s="444" t="s">
        <v>193</v>
      </c>
      <c r="AE97" s="444"/>
      <c r="AF97" s="444"/>
    </row>
    <row r="98" spans="1:32" s="75" customFormat="1" ht="34.5" customHeight="1">
      <c r="A98" s="319" t="s">
        <v>170</v>
      </c>
      <c r="B98" s="407" t="s">
        <v>275</v>
      </c>
      <c r="C98" s="409"/>
      <c r="D98" s="327" t="s">
        <v>278</v>
      </c>
      <c r="E98" s="327"/>
      <c r="F98" s="327" t="s">
        <v>171</v>
      </c>
      <c r="G98" s="327"/>
      <c r="H98" s="327" t="s">
        <v>665</v>
      </c>
      <c r="I98" s="327"/>
      <c r="J98" s="327" t="s">
        <v>560</v>
      </c>
      <c r="K98" s="327"/>
      <c r="L98" s="330" t="s">
        <v>561</v>
      </c>
      <c r="M98" s="330"/>
      <c r="N98" s="330"/>
      <c r="O98" s="330"/>
      <c r="P98" s="330"/>
      <c r="Q98" s="330"/>
      <c r="R98" s="330"/>
      <c r="S98" s="330"/>
      <c r="T98" s="330"/>
      <c r="U98" s="330"/>
      <c r="V98" s="327" t="s">
        <v>276</v>
      </c>
      <c r="W98" s="327"/>
      <c r="X98" s="327"/>
      <c r="Y98" s="327"/>
      <c r="Z98" s="327"/>
      <c r="AA98" s="327" t="s">
        <v>277</v>
      </c>
      <c r="AB98" s="327"/>
      <c r="AC98" s="327"/>
      <c r="AD98" s="327"/>
      <c r="AE98" s="327"/>
      <c r="AF98" s="327"/>
    </row>
    <row r="99" spans="1:32" s="75" customFormat="1" ht="39.75" customHeight="1">
      <c r="A99" s="319"/>
      <c r="B99" s="486"/>
      <c r="C99" s="488"/>
      <c r="D99" s="327"/>
      <c r="E99" s="327"/>
      <c r="F99" s="327"/>
      <c r="G99" s="327"/>
      <c r="H99" s="327"/>
      <c r="I99" s="327"/>
      <c r="J99" s="327"/>
      <c r="K99" s="327"/>
      <c r="L99" s="327" t="s">
        <v>249</v>
      </c>
      <c r="M99" s="327"/>
      <c r="N99" s="327" t="s">
        <v>253</v>
      </c>
      <c r="O99" s="327"/>
      <c r="P99" s="327" t="s">
        <v>254</v>
      </c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  <c r="AE99" s="327"/>
      <c r="AF99" s="327"/>
    </row>
    <row r="100" spans="1:32" s="76" customFormat="1" ht="82.5" customHeight="1">
      <c r="A100" s="319"/>
      <c r="B100" s="410"/>
      <c r="C100" s="412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 t="s">
        <v>250</v>
      </c>
      <c r="Q100" s="327"/>
      <c r="R100" s="327" t="s">
        <v>251</v>
      </c>
      <c r="S100" s="327"/>
      <c r="T100" s="327" t="s">
        <v>252</v>
      </c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</row>
    <row r="101" spans="1:32" s="75" customFormat="1" ht="18.75" customHeight="1">
      <c r="A101" s="63">
        <v>1</v>
      </c>
      <c r="B101" s="381">
        <v>2</v>
      </c>
      <c r="C101" s="382"/>
      <c r="D101" s="327">
        <v>3</v>
      </c>
      <c r="E101" s="327"/>
      <c r="F101" s="327">
        <v>4</v>
      </c>
      <c r="G101" s="327"/>
      <c r="H101" s="327">
        <v>5</v>
      </c>
      <c r="I101" s="327"/>
      <c r="J101" s="327">
        <v>6</v>
      </c>
      <c r="K101" s="327"/>
      <c r="L101" s="381">
        <v>7</v>
      </c>
      <c r="M101" s="382"/>
      <c r="N101" s="381">
        <v>8</v>
      </c>
      <c r="O101" s="382"/>
      <c r="P101" s="327">
        <v>9</v>
      </c>
      <c r="Q101" s="327"/>
      <c r="R101" s="319">
        <v>10</v>
      </c>
      <c r="S101" s="319"/>
      <c r="T101" s="327">
        <v>11</v>
      </c>
      <c r="U101" s="327"/>
      <c r="V101" s="327">
        <v>12</v>
      </c>
      <c r="W101" s="327"/>
      <c r="X101" s="327"/>
      <c r="Y101" s="327"/>
      <c r="Z101" s="327"/>
      <c r="AA101" s="327">
        <v>13</v>
      </c>
      <c r="AB101" s="327"/>
      <c r="AC101" s="327"/>
      <c r="AD101" s="327"/>
      <c r="AE101" s="327"/>
      <c r="AF101" s="327"/>
    </row>
    <row r="102" spans="1:32" s="75" customFormat="1" ht="78.75" customHeight="1">
      <c r="A102" s="90"/>
      <c r="B102" s="449" t="s">
        <v>666</v>
      </c>
      <c r="C102" s="450"/>
      <c r="D102" s="449" t="s">
        <v>666</v>
      </c>
      <c r="E102" s="450"/>
      <c r="F102" s="449" t="s">
        <v>666</v>
      </c>
      <c r="G102" s="450"/>
      <c r="H102" s="449" t="s">
        <v>666</v>
      </c>
      <c r="I102" s="450"/>
      <c r="J102" s="449" t="s">
        <v>666</v>
      </c>
      <c r="K102" s="450"/>
      <c r="L102" s="449" t="s">
        <v>666</v>
      </c>
      <c r="M102" s="450"/>
      <c r="N102" s="371">
        <f t="shared" ref="N102:N108" si="22">SUM(P102,R102,T102)</f>
        <v>0</v>
      </c>
      <c r="O102" s="451"/>
      <c r="P102" s="449"/>
      <c r="Q102" s="450"/>
      <c r="R102" s="448"/>
      <c r="S102" s="448"/>
      <c r="T102" s="448"/>
      <c r="U102" s="448"/>
      <c r="V102" s="443"/>
      <c r="W102" s="443"/>
      <c r="X102" s="443"/>
      <c r="Y102" s="443"/>
      <c r="Z102" s="443"/>
      <c r="AA102" s="378" t="s">
        <v>666</v>
      </c>
      <c r="AB102" s="378"/>
      <c r="AC102" s="378"/>
      <c r="AD102" s="378"/>
      <c r="AE102" s="378"/>
      <c r="AF102" s="378"/>
    </row>
    <row r="103" spans="1:32" s="75" customFormat="1" ht="20.100000000000001" hidden="1" customHeight="1">
      <c r="A103" s="90"/>
      <c r="B103" s="452"/>
      <c r="C103" s="453"/>
      <c r="D103" s="384"/>
      <c r="E103" s="384"/>
      <c r="F103" s="448"/>
      <c r="G103" s="448"/>
      <c r="H103" s="448"/>
      <c r="I103" s="448"/>
      <c r="J103" s="448"/>
      <c r="K103" s="448"/>
      <c r="L103" s="448"/>
      <c r="M103" s="448"/>
      <c r="N103" s="371">
        <f t="shared" si="22"/>
        <v>0</v>
      </c>
      <c r="O103" s="451"/>
      <c r="P103" s="448"/>
      <c r="Q103" s="448"/>
      <c r="R103" s="448"/>
      <c r="S103" s="448"/>
      <c r="T103" s="448"/>
      <c r="U103" s="448"/>
      <c r="V103" s="443"/>
      <c r="W103" s="443"/>
      <c r="X103" s="443"/>
      <c r="Y103" s="443"/>
      <c r="Z103" s="443"/>
      <c r="AA103" s="378"/>
      <c r="AB103" s="378"/>
      <c r="AC103" s="378"/>
      <c r="AD103" s="378"/>
      <c r="AE103" s="378"/>
      <c r="AF103" s="378"/>
    </row>
    <row r="104" spans="1:32" s="75" customFormat="1" ht="20.100000000000001" hidden="1" customHeight="1">
      <c r="A104" s="90"/>
      <c r="B104" s="452"/>
      <c r="C104" s="453"/>
      <c r="D104" s="384"/>
      <c r="E104" s="384"/>
      <c r="F104" s="448"/>
      <c r="G104" s="448"/>
      <c r="H104" s="448"/>
      <c r="I104" s="448"/>
      <c r="J104" s="448"/>
      <c r="K104" s="448"/>
      <c r="L104" s="448"/>
      <c r="M104" s="448"/>
      <c r="N104" s="371">
        <f t="shared" si="22"/>
        <v>0</v>
      </c>
      <c r="O104" s="451"/>
      <c r="P104" s="448"/>
      <c r="Q104" s="448"/>
      <c r="R104" s="448"/>
      <c r="S104" s="448"/>
      <c r="T104" s="448"/>
      <c r="U104" s="448"/>
      <c r="V104" s="443"/>
      <c r="W104" s="443"/>
      <c r="X104" s="443"/>
      <c r="Y104" s="443"/>
      <c r="Z104" s="443"/>
      <c r="AA104" s="378"/>
      <c r="AB104" s="378"/>
      <c r="AC104" s="378"/>
      <c r="AD104" s="378"/>
      <c r="AE104" s="378"/>
      <c r="AF104" s="378"/>
    </row>
    <row r="105" spans="1:32" s="75" customFormat="1" ht="20.100000000000001" hidden="1" customHeight="1">
      <c r="A105" s="90"/>
      <c r="B105" s="452"/>
      <c r="C105" s="453"/>
      <c r="D105" s="384"/>
      <c r="E105" s="384"/>
      <c r="F105" s="448"/>
      <c r="G105" s="448"/>
      <c r="H105" s="448"/>
      <c r="I105" s="448"/>
      <c r="J105" s="448"/>
      <c r="K105" s="448"/>
      <c r="L105" s="448"/>
      <c r="M105" s="448"/>
      <c r="N105" s="371">
        <f t="shared" si="22"/>
        <v>0</v>
      </c>
      <c r="O105" s="451"/>
      <c r="P105" s="448"/>
      <c r="Q105" s="448"/>
      <c r="R105" s="448"/>
      <c r="S105" s="448"/>
      <c r="T105" s="448"/>
      <c r="U105" s="448"/>
      <c r="V105" s="443"/>
      <c r="W105" s="443"/>
      <c r="X105" s="443"/>
      <c r="Y105" s="443"/>
      <c r="Z105" s="443"/>
      <c r="AA105" s="378"/>
      <c r="AB105" s="378"/>
      <c r="AC105" s="378"/>
      <c r="AD105" s="378"/>
      <c r="AE105" s="378"/>
      <c r="AF105" s="378"/>
    </row>
    <row r="106" spans="1:32" s="75" customFormat="1" ht="20.100000000000001" hidden="1" customHeight="1">
      <c r="A106" s="90"/>
      <c r="B106" s="452"/>
      <c r="C106" s="453"/>
      <c r="D106" s="384"/>
      <c r="E106" s="384"/>
      <c r="F106" s="448"/>
      <c r="G106" s="448"/>
      <c r="H106" s="448"/>
      <c r="I106" s="448"/>
      <c r="J106" s="448"/>
      <c r="K106" s="448"/>
      <c r="L106" s="448"/>
      <c r="M106" s="448"/>
      <c r="N106" s="371">
        <f t="shared" si="22"/>
        <v>0</v>
      </c>
      <c r="O106" s="451"/>
      <c r="P106" s="448"/>
      <c r="Q106" s="448"/>
      <c r="R106" s="448"/>
      <c r="S106" s="448"/>
      <c r="T106" s="448"/>
      <c r="U106" s="448"/>
      <c r="V106" s="443"/>
      <c r="W106" s="443"/>
      <c r="X106" s="443"/>
      <c r="Y106" s="443"/>
      <c r="Z106" s="443"/>
      <c r="AA106" s="378"/>
      <c r="AB106" s="378"/>
      <c r="AC106" s="378"/>
      <c r="AD106" s="378"/>
      <c r="AE106" s="378"/>
      <c r="AF106" s="378"/>
    </row>
    <row r="107" spans="1:32" s="75" customFormat="1" ht="20.100000000000001" hidden="1" customHeight="1">
      <c r="A107" s="90"/>
      <c r="B107" s="452"/>
      <c r="C107" s="453"/>
      <c r="D107" s="384"/>
      <c r="E107" s="384"/>
      <c r="F107" s="448"/>
      <c r="G107" s="448"/>
      <c r="H107" s="448"/>
      <c r="I107" s="448"/>
      <c r="J107" s="448"/>
      <c r="K107" s="448"/>
      <c r="L107" s="448"/>
      <c r="M107" s="448"/>
      <c r="N107" s="371">
        <f t="shared" si="22"/>
        <v>0</v>
      </c>
      <c r="O107" s="451"/>
      <c r="P107" s="448"/>
      <c r="Q107" s="448"/>
      <c r="R107" s="448"/>
      <c r="S107" s="448"/>
      <c r="T107" s="448"/>
      <c r="U107" s="448"/>
      <c r="V107" s="443"/>
      <c r="W107" s="443"/>
      <c r="X107" s="443"/>
      <c r="Y107" s="443"/>
      <c r="Z107" s="443"/>
      <c r="AA107" s="378"/>
      <c r="AB107" s="378"/>
      <c r="AC107" s="378"/>
      <c r="AD107" s="378"/>
      <c r="AE107" s="378"/>
      <c r="AF107" s="378"/>
    </row>
    <row r="108" spans="1:32" s="75" customFormat="1" ht="20.100000000000001" hidden="1" customHeight="1">
      <c r="A108" s="90"/>
      <c r="B108" s="452"/>
      <c r="C108" s="453"/>
      <c r="D108" s="384"/>
      <c r="E108" s="384"/>
      <c r="F108" s="448"/>
      <c r="G108" s="448"/>
      <c r="H108" s="448"/>
      <c r="I108" s="448"/>
      <c r="J108" s="448"/>
      <c r="K108" s="448"/>
      <c r="L108" s="448"/>
      <c r="M108" s="448"/>
      <c r="N108" s="371">
        <f t="shared" si="22"/>
        <v>0</v>
      </c>
      <c r="O108" s="451"/>
      <c r="P108" s="448"/>
      <c r="Q108" s="448"/>
      <c r="R108" s="448"/>
      <c r="S108" s="448"/>
      <c r="T108" s="448"/>
      <c r="U108" s="448"/>
      <c r="V108" s="443"/>
      <c r="W108" s="443"/>
      <c r="X108" s="443"/>
      <c r="Y108" s="443"/>
      <c r="Z108" s="443"/>
      <c r="AA108" s="378"/>
      <c r="AB108" s="378"/>
      <c r="AC108" s="378"/>
      <c r="AD108" s="378"/>
      <c r="AE108" s="378"/>
      <c r="AF108" s="378"/>
    </row>
    <row r="109" spans="1:32" s="75" customFormat="1" ht="24.95" customHeight="1">
      <c r="A109" s="523" t="s">
        <v>63</v>
      </c>
      <c r="B109" s="524"/>
      <c r="C109" s="524"/>
      <c r="D109" s="524"/>
      <c r="E109" s="525"/>
      <c r="F109" s="365">
        <f>SUM(F102:G108)</f>
        <v>0</v>
      </c>
      <c r="G109" s="365"/>
      <c r="H109" s="365">
        <f>SUM(H102:I108)</f>
        <v>0</v>
      </c>
      <c r="I109" s="365"/>
      <c r="J109" s="365">
        <f>SUM(J102:K108)</f>
        <v>0</v>
      </c>
      <c r="K109" s="365"/>
      <c r="L109" s="365">
        <f>SUM(L102:M108)</f>
        <v>0</v>
      </c>
      <c r="M109" s="365"/>
      <c r="N109" s="365">
        <f>SUM(N102:O108)</f>
        <v>0</v>
      </c>
      <c r="O109" s="365"/>
      <c r="P109" s="365">
        <f>SUM(P102:Q108)</f>
        <v>0</v>
      </c>
      <c r="Q109" s="365"/>
      <c r="R109" s="365">
        <f>SUM(R102:S108)</f>
        <v>0</v>
      </c>
      <c r="S109" s="365"/>
      <c r="T109" s="365">
        <f>SUM(T102:U108)</f>
        <v>0</v>
      </c>
      <c r="U109" s="365"/>
      <c r="V109" s="443"/>
      <c r="W109" s="443"/>
      <c r="X109" s="443"/>
      <c r="Y109" s="443"/>
      <c r="Z109" s="443"/>
      <c r="AA109" s="378"/>
      <c r="AB109" s="378"/>
      <c r="AC109" s="378"/>
      <c r="AD109" s="378"/>
      <c r="AE109" s="378"/>
      <c r="AF109" s="378"/>
    </row>
    <row r="110" spans="1:32" ht="15" customHeight="1">
      <c r="A110" s="15"/>
      <c r="B110" s="15"/>
      <c r="C110" s="1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32" ht="15" customHeight="1">
      <c r="A111" s="15"/>
      <c r="B111" s="15"/>
      <c r="C111" s="1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32" ht="15" customHeight="1">
      <c r="A112" s="15"/>
      <c r="B112" s="15"/>
      <c r="C112" s="1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7" ht="15" customHeight="1">
      <c r="A113" s="15"/>
      <c r="B113" s="15"/>
      <c r="C113" s="1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7" s="2" customFormat="1" ht="27.75" customHeight="1">
      <c r="B114" s="339" t="s">
        <v>640</v>
      </c>
      <c r="C114" s="339"/>
      <c r="D114" s="339"/>
      <c r="E114" s="339"/>
      <c r="F114" s="339"/>
      <c r="G114" s="339"/>
      <c r="M114" s="522" t="s">
        <v>105</v>
      </c>
      <c r="N114" s="522"/>
      <c r="O114" s="522"/>
      <c r="P114" s="522"/>
      <c r="Q114" s="522"/>
      <c r="R114" s="314" t="s">
        <v>735</v>
      </c>
      <c r="S114" s="314"/>
      <c r="T114" s="314"/>
    </row>
    <row r="115" spans="1:27" s="3" customFormat="1">
      <c r="B115" s="331" t="s">
        <v>83</v>
      </c>
      <c r="C115" s="331"/>
      <c r="D115" s="331"/>
      <c r="E115" s="331"/>
      <c r="F115" s="331"/>
      <c r="G115" s="331"/>
      <c r="H115" s="41"/>
      <c r="I115" s="41"/>
      <c r="J115" s="41"/>
      <c r="K115" s="41"/>
      <c r="L115" s="41"/>
      <c r="M115" s="331" t="s">
        <v>84</v>
      </c>
      <c r="N115" s="331"/>
      <c r="O115" s="331"/>
      <c r="P115" s="331"/>
      <c r="Q115" s="331"/>
      <c r="R115" s="331" t="s">
        <v>126</v>
      </c>
      <c r="S115" s="331"/>
      <c r="T115" s="331"/>
      <c r="U115" s="331"/>
      <c r="V115" s="1"/>
    </row>
    <row r="116" spans="1:27" s="33" customFormat="1" ht="16.5" customHeight="1">
      <c r="C116" s="96"/>
      <c r="D116" s="67"/>
      <c r="E116" s="67"/>
      <c r="F116" s="66"/>
      <c r="G116" s="66"/>
      <c r="H116" s="66"/>
      <c r="I116" s="66"/>
      <c r="J116" s="66"/>
      <c r="K116" s="66"/>
      <c r="L116" s="66"/>
      <c r="M116" s="66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</row>
    <row r="117" spans="1:27" s="3" customFormat="1">
      <c r="F117" s="23"/>
      <c r="G117" s="23"/>
      <c r="H117" s="23"/>
      <c r="I117" s="23"/>
      <c r="J117" s="23"/>
      <c r="K117" s="23"/>
      <c r="L117" s="23"/>
      <c r="Q117" s="23"/>
      <c r="R117" s="23"/>
      <c r="S117" s="23"/>
      <c r="T117" s="23"/>
      <c r="X117" s="23"/>
      <c r="Y117" s="23"/>
      <c r="Z117" s="23"/>
      <c r="AA117" s="23"/>
    </row>
    <row r="118" spans="1:27">
      <c r="C118" s="35"/>
      <c r="D118" s="35"/>
      <c r="E118" s="35"/>
      <c r="F118" s="35"/>
      <c r="G118" s="35"/>
      <c r="H118" s="35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35"/>
      <c r="V118" s="35"/>
    </row>
    <row r="119" spans="1:27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7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7">
      <c r="C121" s="36"/>
    </row>
    <row r="124" spans="1:27" ht="19.5">
      <c r="C124" s="37"/>
    </row>
    <row r="125" spans="1:27" ht="19.5">
      <c r="C125" s="37"/>
    </row>
    <row r="128" spans="1:27" ht="19.5">
      <c r="C128" s="37"/>
    </row>
    <row r="129" spans="3:3" ht="19.5">
      <c r="C129" s="37"/>
    </row>
    <row r="130" spans="3:3" ht="19.5">
      <c r="C130" s="37"/>
    </row>
  </sheetData>
  <mergeCells count="313">
    <mergeCell ref="B63:L63"/>
    <mergeCell ref="B55:L55"/>
    <mergeCell ref="H104:I104"/>
    <mergeCell ref="F104:G104"/>
    <mergeCell ref="D104:E104"/>
    <mergeCell ref="J104:K104"/>
    <mergeCell ref="B61:L61"/>
    <mergeCell ref="B76:L76"/>
    <mergeCell ref="B62:L62"/>
    <mergeCell ref="B65:L65"/>
    <mergeCell ref="B66:L66"/>
    <mergeCell ref="B67:L67"/>
    <mergeCell ref="B71:L71"/>
    <mergeCell ref="B70:L70"/>
    <mergeCell ref="B59:L59"/>
    <mergeCell ref="B57:L57"/>
    <mergeCell ref="B77:L77"/>
    <mergeCell ref="B78:L78"/>
    <mergeCell ref="H101:I101"/>
    <mergeCell ref="B104:C104"/>
    <mergeCell ref="F101:G101"/>
    <mergeCell ref="F102:G102"/>
    <mergeCell ref="L102:M102"/>
    <mergeCell ref="H103:I103"/>
    <mergeCell ref="V108:Z108"/>
    <mergeCell ref="P109:Q109"/>
    <mergeCell ref="W21:X21"/>
    <mergeCell ref="Y21:Z21"/>
    <mergeCell ref="A98:A100"/>
    <mergeCell ref="D98:E100"/>
    <mergeCell ref="B98:C100"/>
    <mergeCell ref="F98:G100"/>
    <mergeCell ref="D101:E101"/>
    <mergeCell ref="J101:K101"/>
    <mergeCell ref="H102:I102"/>
    <mergeCell ref="D102:E102"/>
    <mergeCell ref="J105:K105"/>
    <mergeCell ref="N106:O106"/>
    <mergeCell ref="N104:O104"/>
    <mergeCell ref="J106:K106"/>
    <mergeCell ref="H106:I106"/>
    <mergeCell ref="D106:E106"/>
    <mergeCell ref="L108:M108"/>
    <mergeCell ref="V109:Z109"/>
    <mergeCell ref="W22:X22"/>
    <mergeCell ref="B60:L60"/>
    <mergeCell ref="B41:L41"/>
    <mergeCell ref="B58:L58"/>
    <mergeCell ref="AE15:AF17"/>
    <mergeCell ref="W15:X17"/>
    <mergeCell ref="AC15:AD17"/>
    <mergeCell ref="AD1:AF1"/>
    <mergeCell ref="AD2:AF2"/>
    <mergeCell ref="AD9:AF9"/>
    <mergeCell ref="AD7:AF7"/>
    <mergeCell ref="AD8:AF8"/>
    <mergeCell ref="AC5:AC6"/>
    <mergeCell ref="Z5:AB6"/>
    <mergeCell ref="W8:Y8"/>
    <mergeCell ref="W14:AB14"/>
    <mergeCell ref="Y15:Z17"/>
    <mergeCell ref="W5:Y6"/>
    <mergeCell ref="Z9:AB9"/>
    <mergeCell ref="Z8:AB8"/>
    <mergeCell ref="W7:Y7"/>
    <mergeCell ref="W9:Y9"/>
    <mergeCell ref="Z7:AB7"/>
    <mergeCell ref="AA15:AB17"/>
    <mergeCell ref="AE18:AF18"/>
    <mergeCell ref="AC18:AD18"/>
    <mergeCell ref="AA18:AB18"/>
    <mergeCell ref="Y18:Z18"/>
    <mergeCell ref="B87:L87"/>
    <mergeCell ref="H98:I100"/>
    <mergeCell ref="W20:X20"/>
    <mergeCell ref="B85:L85"/>
    <mergeCell ref="B84:L84"/>
    <mergeCell ref="AA21:AB21"/>
    <mergeCell ref="AC21:AD21"/>
    <mergeCell ref="AA22:AB22"/>
    <mergeCell ref="Z26:AB26"/>
    <mergeCell ref="B88:L88"/>
    <mergeCell ref="M28:M29"/>
    <mergeCell ref="B89:L89"/>
    <mergeCell ref="B64:L64"/>
    <mergeCell ref="M27:P27"/>
    <mergeCell ref="W18:X18"/>
    <mergeCell ref="R100:S100"/>
    <mergeCell ref="T28:T29"/>
    <mergeCell ref="U27:X27"/>
    <mergeCell ref="A22:V22"/>
    <mergeCell ref="D21:G21"/>
    <mergeCell ref="B115:G115"/>
    <mergeCell ref="M114:Q114"/>
    <mergeCell ref="M115:Q115"/>
    <mergeCell ref="D105:E105"/>
    <mergeCell ref="F105:G105"/>
    <mergeCell ref="B108:C108"/>
    <mergeCell ref="H109:I109"/>
    <mergeCell ref="L109:M109"/>
    <mergeCell ref="B114:G114"/>
    <mergeCell ref="P107:Q107"/>
    <mergeCell ref="P105:Q105"/>
    <mergeCell ref="B106:C106"/>
    <mergeCell ref="F106:G106"/>
    <mergeCell ref="F108:G108"/>
    <mergeCell ref="F107:G107"/>
    <mergeCell ref="D108:E108"/>
    <mergeCell ref="B107:C107"/>
    <mergeCell ref="D107:E107"/>
    <mergeCell ref="N108:O108"/>
    <mergeCell ref="P108:Q108"/>
    <mergeCell ref="F109:G109"/>
    <mergeCell ref="A109:E109"/>
    <mergeCell ref="N109:O109"/>
    <mergeCell ref="B105:C105"/>
    <mergeCell ref="R115:U115"/>
    <mergeCell ref="R105:S105"/>
    <mergeCell ref="R114:T114"/>
    <mergeCell ref="H108:I108"/>
    <mergeCell ref="J109:K109"/>
    <mergeCell ref="R106:S106"/>
    <mergeCell ref="H107:I107"/>
    <mergeCell ref="N107:O107"/>
    <mergeCell ref="L106:M106"/>
    <mergeCell ref="L105:M105"/>
    <mergeCell ref="T108:U108"/>
    <mergeCell ref="J107:K107"/>
    <mergeCell ref="J108:K108"/>
    <mergeCell ref="H105:I105"/>
    <mergeCell ref="N105:O105"/>
    <mergeCell ref="L107:M107"/>
    <mergeCell ref="T109:U109"/>
    <mergeCell ref="Q27:T27"/>
    <mergeCell ref="G5:M6"/>
    <mergeCell ref="N5:V5"/>
    <mergeCell ref="T9:V9"/>
    <mergeCell ref="R19:V19"/>
    <mergeCell ref="Q6:S6"/>
    <mergeCell ref="N6:P6"/>
    <mergeCell ref="D7:F7"/>
    <mergeCell ref="G7:M7"/>
    <mergeCell ref="T7:V7"/>
    <mergeCell ref="A27:A29"/>
    <mergeCell ref="Q8:S8"/>
    <mergeCell ref="N8:P8"/>
    <mergeCell ref="G8:M8"/>
    <mergeCell ref="N9:P9"/>
    <mergeCell ref="D18:G18"/>
    <mergeCell ref="H18:Q18"/>
    <mergeCell ref="A9:M9"/>
    <mergeCell ref="A14:A17"/>
    <mergeCell ref="H20:Q20"/>
    <mergeCell ref="D19:G19"/>
    <mergeCell ref="N28:N29"/>
    <mergeCell ref="S28:S29"/>
    <mergeCell ref="B27:L29"/>
    <mergeCell ref="O28:O29"/>
    <mergeCell ref="R28:R29"/>
    <mergeCell ref="R21:V21"/>
    <mergeCell ref="U28:U29"/>
    <mergeCell ref="H21:Q21"/>
    <mergeCell ref="B21:C21"/>
    <mergeCell ref="H14:Q17"/>
    <mergeCell ref="B19:C19"/>
    <mergeCell ref="B18:C18"/>
    <mergeCell ref="B14:C17"/>
    <mergeCell ref="B20:C20"/>
    <mergeCell ref="A5:A6"/>
    <mergeCell ref="B7:C7"/>
    <mergeCell ref="D5:F6"/>
    <mergeCell ref="B8:C8"/>
    <mergeCell ref="D8:F8"/>
    <mergeCell ref="B5:C6"/>
    <mergeCell ref="Q7:S7"/>
    <mergeCell ref="N7:P7"/>
    <mergeCell ref="R20:V20"/>
    <mergeCell ref="D20:G20"/>
    <mergeCell ref="D14:G17"/>
    <mergeCell ref="T8:V8"/>
    <mergeCell ref="Q9:S9"/>
    <mergeCell ref="R14:V17"/>
    <mergeCell ref="R18:V18"/>
    <mergeCell ref="H19:Q19"/>
    <mergeCell ref="T6:V6"/>
    <mergeCell ref="AE21:AF21"/>
    <mergeCell ref="AC27:AF27"/>
    <mergeCell ref="AF28:AF29"/>
    <mergeCell ref="Y27:AB27"/>
    <mergeCell ref="AA20:AB20"/>
    <mergeCell ref="Y22:Z22"/>
    <mergeCell ref="Y28:Y29"/>
    <mergeCell ref="AA19:AB19"/>
    <mergeCell ref="W19:X19"/>
    <mergeCell ref="Y19:Z19"/>
    <mergeCell ref="AD26:AF26"/>
    <mergeCell ref="AE22:AF22"/>
    <mergeCell ref="AC22:AD22"/>
    <mergeCell ref="AE20:AF20"/>
    <mergeCell ref="Y20:Z20"/>
    <mergeCell ref="AC19:AD19"/>
    <mergeCell ref="AE19:AF19"/>
    <mergeCell ref="AC20:AD20"/>
    <mergeCell ref="Z28:Z29"/>
    <mergeCell ref="B102:C102"/>
    <mergeCell ref="D103:E103"/>
    <mergeCell ref="R103:S103"/>
    <mergeCell ref="R102:S102"/>
    <mergeCell ref="P103:Q103"/>
    <mergeCell ref="T104:U104"/>
    <mergeCell ref="R101:S101"/>
    <mergeCell ref="V103:Z103"/>
    <mergeCell ref="P104:Q104"/>
    <mergeCell ref="R104:S104"/>
    <mergeCell ref="P102:Q102"/>
    <mergeCell ref="T101:U101"/>
    <mergeCell ref="V101:Z101"/>
    <mergeCell ref="J103:K103"/>
    <mergeCell ref="J102:K102"/>
    <mergeCell ref="T102:U102"/>
    <mergeCell ref="L103:M103"/>
    <mergeCell ref="N103:O103"/>
    <mergeCell ref="N102:O102"/>
    <mergeCell ref="L104:M104"/>
    <mergeCell ref="F103:G103"/>
    <mergeCell ref="B103:C103"/>
    <mergeCell ref="B43:L43"/>
    <mergeCell ref="AC28:AC29"/>
    <mergeCell ref="AA109:AF109"/>
    <mergeCell ref="AA106:AF106"/>
    <mergeCell ref="AA107:AF107"/>
    <mergeCell ref="AA105:AF105"/>
    <mergeCell ref="AA108:AF108"/>
    <mergeCell ref="V104:Z104"/>
    <mergeCell ref="P106:Q106"/>
    <mergeCell ref="T103:U103"/>
    <mergeCell ref="AA102:AF102"/>
    <mergeCell ref="AA104:AF104"/>
    <mergeCell ref="AA103:AF103"/>
    <mergeCell ref="V106:Z106"/>
    <mergeCell ref="V105:Z105"/>
    <mergeCell ref="R109:S109"/>
    <mergeCell ref="T107:U107"/>
    <mergeCell ref="V107:Z107"/>
    <mergeCell ref="R108:S108"/>
    <mergeCell ref="T106:U106"/>
    <mergeCell ref="T105:U105"/>
    <mergeCell ref="R107:S107"/>
    <mergeCell ref="B46:L46"/>
    <mergeCell ref="B101:C101"/>
    <mergeCell ref="B35:L35"/>
    <mergeCell ref="B33:L33"/>
    <mergeCell ref="AA101:AF101"/>
    <mergeCell ref="V102:Z102"/>
    <mergeCell ref="AD28:AD29"/>
    <mergeCell ref="AE28:AE29"/>
    <mergeCell ref="AA28:AA29"/>
    <mergeCell ref="AB28:AB29"/>
    <mergeCell ref="T100:U100"/>
    <mergeCell ref="V98:Z100"/>
    <mergeCell ref="AD97:AF97"/>
    <mergeCell ref="AA98:AF100"/>
    <mergeCell ref="L98:U98"/>
    <mergeCell ref="N101:O101"/>
    <mergeCell ref="L101:M101"/>
    <mergeCell ref="P101:Q101"/>
    <mergeCell ref="A92:L92"/>
    <mergeCell ref="B74:L74"/>
    <mergeCell ref="B82:L82"/>
    <mergeCell ref="B68:L68"/>
    <mergeCell ref="B69:L69"/>
    <mergeCell ref="B90:L90"/>
    <mergeCell ref="V28:V29"/>
    <mergeCell ref="B44:L44"/>
    <mergeCell ref="B47:L47"/>
    <mergeCell ref="B49:L49"/>
    <mergeCell ref="B48:L48"/>
    <mergeCell ref="B56:L56"/>
    <mergeCell ref="B38:L38"/>
    <mergeCell ref="B32:L32"/>
    <mergeCell ref="B34:L34"/>
    <mergeCell ref="X28:X29"/>
    <mergeCell ref="W28:W29"/>
    <mergeCell ref="Q28:Q29"/>
    <mergeCell ref="P28:P29"/>
    <mergeCell ref="B53:L53"/>
    <mergeCell ref="B45:L45"/>
    <mergeCell ref="B54:L54"/>
    <mergeCell ref="B50:L50"/>
    <mergeCell ref="B42:L42"/>
    <mergeCell ref="B31:L31"/>
    <mergeCell ref="B30:L30"/>
    <mergeCell ref="B39:L39"/>
    <mergeCell ref="B36:L36"/>
    <mergeCell ref="B37:L37"/>
    <mergeCell ref="B52:L52"/>
    <mergeCell ref="B40:L40"/>
    <mergeCell ref="B51:L51"/>
    <mergeCell ref="P99:U99"/>
    <mergeCell ref="N99:O100"/>
    <mergeCell ref="B73:L73"/>
    <mergeCell ref="B72:L72"/>
    <mergeCell ref="J98:K100"/>
    <mergeCell ref="L99:M100"/>
    <mergeCell ref="B79:L79"/>
    <mergeCell ref="B81:L81"/>
    <mergeCell ref="B86:L86"/>
    <mergeCell ref="B83:L83"/>
    <mergeCell ref="B80:L80"/>
    <mergeCell ref="A93:L93"/>
    <mergeCell ref="P100:Q100"/>
    <mergeCell ref="B91:L91"/>
    <mergeCell ref="B75:L75"/>
  </mergeCells>
  <phoneticPr fontId="3" type="noConversion"/>
  <pageMargins left="0.78740157480314965" right="0.39370078740157483" top="0.47244094488188981" bottom="0.19685039370078741" header="0.19685039370078741" footer="0.11811023622047245"/>
  <pageSetup paperSize="9" scale="34" orientation="landscape" verticalDpi="1200" r:id="rId1"/>
  <headerFooter alignWithMargins="0">
    <oddHeader xml:space="preserve">&amp;C&amp;"Times New Roman,обычный"&amp;16
 13&amp;R
&amp;"Times New Roman,обычный"&amp;14Продовження додатка 3
</oddHeader>
  </headerFooter>
  <rowBreaks count="2" manualBreakCount="2">
    <brk id="93" max="31" man="1"/>
    <brk id="117" max="31" man="1"/>
  </rowBreaks>
  <ignoredErrors>
    <ignoredError sqref="AE93:AF93" formulaRange="1"/>
    <ignoredError sqref="AA93:AB93 O93 M93 P93:Q93 S93:U93 W93:Y93 AF92" evalError="1" formulaRange="1"/>
    <ignoredError sqref="AC93:AD93 Z93 N93 R93 V93" evalError="1"/>
    <ignoredError sqref="X92" evalError="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Пилипенко Святослава Іллівна</cp:lastModifiedBy>
  <cp:lastPrinted>2018-02-22T12:18:20Z</cp:lastPrinted>
  <dcterms:created xsi:type="dcterms:W3CDTF">2003-03-13T16:00:22Z</dcterms:created>
  <dcterms:modified xsi:type="dcterms:W3CDTF">2018-04-19T13:08:03Z</dcterms:modified>
</cp:coreProperties>
</file>